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60" windowWidth="22980" windowHeight="10845"/>
  </bookViews>
  <sheets>
    <sheet name="Лист1" sheetId="1" r:id="rId1"/>
  </sheets>
  <definedNames>
    <definedName name="_xlnm.Print_Area" localSheetId="0">Лист1!$A$1:$W$185</definedName>
  </definedNames>
  <calcPr calcId="152511"/>
</workbook>
</file>

<file path=xl/calcChain.xml><?xml version="1.0" encoding="utf-8"?>
<calcChain xmlns="http://schemas.openxmlformats.org/spreadsheetml/2006/main">
  <c r="J78" i="1" l="1"/>
  <c r="C84" i="1" l="1"/>
  <c r="C129" i="1"/>
  <c r="C126" i="1" s="1"/>
  <c r="G129" i="1"/>
  <c r="G126" i="1" s="1"/>
  <c r="D129" i="1"/>
  <c r="D126" i="1" s="1"/>
  <c r="H129" i="1"/>
  <c r="H126" i="1" s="1"/>
  <c r="H68" i="1" l="1"/>
  <c r="D68" i="1"/>
  <c r="C68" i="1"/>
  <c r="H166" i="1" l="1"/>
  <c r="H161" i="1"/>
  <c r="H165" i="1" l="1"/>
  <c r="H164" i="1"/>
  <c r="H163" i="1"/>
  <c r="H162" i="1"/>
  <c r="D166" i="1"/>
  <c r="AT176" i="1"/>
  <c r="AY172" i="1" l="1"/>
  <c r="D162" i="1"/>
  <c r="AS176" i="1"/>
  <c r="H155" i="1"/>
  <c r="D155" i="1"/>
  <c r="AP146" i="1"/>
  <c r="AO153" i="1" l="1"/>
  <c r="AV161" i="1" l="1"/>
  <c r="AX171" i="1"/>
  <c r="AX170" i="1"/>
  <c r="AX169" i="1"/>
  <c r="AX168" i="1"/>
  <c r="AX167" i="1"/>
  <c r="AW166" i="1"/>
  <c r="G166" i="1"/>
  <c r="G165" i="1"/>
  <c r="G164" i="1"/>
  <c r="G163" i="1"/>
  <c r="G162" i="1"/>
  <c r="G161" i="1"/>
  <c r="AU166" i="1"/>
  <c r="AV154" i="1"/>
  <c r="AW145" i="1"/>
  <c r="AX166" i="1" l="1"/>
  <c r="AW154" i="1" l="1"/>
  <c r="AQ166" i="1" l="1"/>
  <c r="AR166" i="1" s="1"/>
  <c r="AQ165" i="1"/>
  <c r="AR165" i="1" s="1"/>
  <c r="AQ164" i="1"/>
  <c r="AR164" i="1" s="1"/>
  <c r="AQ163" i="1"/>
  <c r="AR163" i="1" s="1"/>
  <c r="AR176" i="1" l="1"/>
  <c r="H173" i="1"/>
  <c r="G173" i="1"/>
  <c r="H172" i="1"/>
  <c r="G172" i="1"/>
  <c r="H171" i="1"/>
  <c r="G171" i="1"/>
  <c r="H170" i="1"/>
  <c r="G170" i="1"/>
  <c r="H169" i="1"/>
  <c r="G169" i="1"/>
  <c r="H168" i="1"/>
  <c r="G168" i="1"/>
  <c r="AR175" i="1" l="1"/>
  <c r="AW161" i="1"/>
  <c r="AV171" i="1"/>
  <c r="AV170" i="1"/>
  <c r="AV169" i="1"/>
  <c r="AV168" i="1"/>
  <c r="AV167" i="1"/>
  <c r="AT166" i="1"/>
  <c r="AV165" i="1"/>
  <c r="AN153" i="1"/>
  <c r="AV166" i="1" l="1"/>
  <c r="AV164" i="1" s="1"/>
  <c r="AY157" i="1" l="1"/>
  <c r="AX159" i="1"/>
  <c r="AY159" i="1" l="1"/>
  <c r="AY156" i="1" s="1"/>
  <c r="AO156" i="1" l="1"/>
  <c r="C173" i="1"/>
  <c r="C172" i="1"/>
  <c r="C171" i="1"/>
  <c r="C170" i="1"/>
  <c r="C169" i="1"/>
  <c r="C168" i="1"/>
  <c r="AQ172" i="1" l="1"/>
  <c r="AQ174" i="1"/>
  <c r="AQ173" i="1"/>
  <c r="AQ175" i="1" s="1"/>
  <c r="G160" i="1"/>
  <c r="AN157" i="1" s="1"/>
  <c r="C160" i="1"/>
  <c r="AR155" i="1" s="1"/>
  <c r="AS158" i="1" l="1"/>
  <c r="AV155" i="1"/>
  <c r="F41" i="1"/>
  <c r="F42" i="1"/>
  <c r="F51" i="1"/>
  <c r="F53" i="1"/>
  <c r="I51" i="1" l="1"/>
  <c r="E51" i="1"/>
  <c r="E53" i="1"/>
  <c r="H54" i="1"/>
  <c r="G54" i="1"/>
  <c r="D54" i="1"/>
  <c r="C54" i="1"/>
  <c r="E59" i="1"/>
  <c r="I55" i="1"/>
  <c r="I56" i="1"/>
  <c r="I57" i="1"/>
  <c r="I58" i="1"/>
  <c r="I59" i="1"/>
  <c r="E55" i="1"/>
  <c r="E56" i="1"/>
  <c r="E57" i="1"/>
  <c r="E58" i="1"/>
  <c r="E64" i="1"/>
  <c r="J59" i="1"/>
  <c r="G68" i="1"/>
  <c r="G74" i="1"/>
  <c r="G65" i="1"/>
  <c r="D52" i="1"/>
  <c r="D50" i="1" s="1"/>
  <c r="E52" i="1"/>
  <c r="F52" i="1"/>
  <c r="H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C52" i="1"/>
  <c r="C49" i="1" s="1"/>
  <c r="J53" i="1"/>
  <c r="J52" i="1" s="1"/>
  <c r="I54" i="1" l="1"/>
  <c r="E54" i="1"/>
  <c r="F50" i="1"/>
  <c r="F49" i="1" s="1"/>
  <c r="G52" i="1"/>
  <c r="G50" i="1" s="1"/>
  <c r="G49" i="1" s="1"/>
  <c r="I53" i="1"/>
  <c r="H50" i="1"/>
  <c r="E50" i="1"/>
  <c r="D49" i="1"/>
  <c r="J50" i="1" l="1"/>
  <c r="I52" i="1"/>
  <c r="I50" i="1"/>
  <c r="H49" i="1"/>
  <c r="E49" i="1"/>
  <c r="G80" i="1"/>
  <c r="H80" i="1"/>
  <c r="J80" i="1" s="1"/>
  <c r="D80" i="1"/>
  <c r="C80" i="1"/>
  <c r="J83" i="1"/>
  <c r="I83" i="1"/>
  <c r="E83" i="1"/>
  <c r="I49" i="1" l="1"/>
  <c r="F124" i="1"/>
  <c r="J106" i="1" l="1"/>
  <c r="I106" i="1"/>
  <c r="E106" i="1"/>
  <c r="J105" i="1"/>
  <c r="F105" i="1"/>
  <c r="E105" i="1"/>
  <c r="I105" i="1"/>
  <c r="G153" i="1" l="1"/>
  <c r="G167" i="1" s="1"/>
  <c r="BY68" i="1"/>
  <c r="E82" i="1" l="1"/>
  <c r="J82" i="1"/>
  <c r="I82" i="1"/>
  <c r="E124" i="1" l="1"/>
  <c r="E129" i="1"/>
  <c r="E126" i="1" s="1"/>
  <c r="F129" i="1"/>
  <c r="I173" i="1" l="1"/>
  <c r="D173" i="1"/>
  <c r="E173" i="1" s="1"/>
  <c r="I172" i="1"/>
  <c r="D172" i="1"/>
  <c r="E172" i="1" s="1"/>
  <c r="I171" i="1"/>
  <c r="D171" i="1"/>
  <c r="E171" i="1" s="1"/>
  <c r="I170" i="1"/>
  <c r="D170" i="1"/>
  <c r="E170" i="1" s="1"/>
  <c r="I168" i="1"/>
  <c r="D168" i="1"/>
  <c r="I166" i="1"/>
  <c r="F166" i="1"/>
  <c r="I165" i="1"/>
  <c r="F165" i="1"/>
  <c r="E165" i="1"/>
  <c r="I164" i="1"/>
  <c r="E164" i="1"/>
  <c r="F164" i="1"/>
  <c r="I163" i="1"/>
  <c r="E163" i="1"/>
  <c r="F163" i="1"/>
  <c r="I169" i="1"/>
  <c r="I161" i="1"/>
  <c r="F161" i="1"/>
  <c r="E161" i="1"/>
  <c r="I159" i="1"/>
  <c r="F159" i="1"/>
  <c r="E159" i="1"/>
  <c r="I158" i="1"/>
  <c r="F158" i="1"/>
  <c r="E158" i="1"/>
  <c r="I157" i="1"/>
  <c r="F157" i="1"/>
  <c r="E157" i="1"/>
  <c r="I156" i="1"/>
  <c r="F156" i="1"/>
  <c r="E156" i="1"/>
  <c r="I155" i="1"/>
  <c r="F155" i="1"/>
  <c r="E155" i="1"/>
  <c r="I154" i="1"/>
  <c r="F154" i="1"/>
  <c r="E154" i="1"/>
  <c r="H153" i="1"/>
  <c r="I153" i="1" s="1"/>
  <c r="D153" i="1"/>
  <c r="AN152" i="1" s="1"/>
  <c r="C153" i="1"/>
  <c r="C167" i="1" s="1"/>
  <c r="H160" i="1" l="1"/>
  <c r="D169" i="1"/>
  <c r="F169" i="1" s="1"/>
  <c r="D160" i="1"/>
  <c r="AO160" i="1" s="1"/>
  <c r="E162" i="1"/>
  <c r="F168" i="1"/>
  <c r="F153" i="1"/>
  <c r="E153" i="1"/>
  <c r="F162" i="1"/>
  <c r="E166" i="1"/>
  <c r="E168" i="1"/>
  <c r="F170" i="1"/>
  <c r="F171" i="1"/>
  <c r="F172" i="1"/>
  <c r="F173" i="1"/>
  <c r="I162" i="1"/>
  <c r="AX152" i="1" l="1"/>
  <c r="AY152" i="1" s="1"/>
  <c r="AO157" i="1"/>
  <c r="H167" i="1"/>
  <c r="I167" i="1" s="1"/>
  <c r="AW155" i="1"/>
  <c r="AN159" i="1"/>
  <c r="AN158" i="1"/>
  <c r="AS155" i="1"/>
  <c r="I160" i="1"/>
  <c r="E169" i="1"/>
  <c r="AT158" i="1"/>
  <c r="F160" i="1"/>
  <c r="AP158" i="1"/>
  <c r="D167" i="1"/>
  <c r="F167" i="1" s="1"/>
  <c r="E160" i="1"/>
  <c r="F69" i="1"/>
  <c r="E167" i="1" l="1"/>
  <c r="D84" i="1"/>
  <c r="J129" i="1" l="1"/>
  <c r="I129" i="1"/>
  <c r="I81" i="1" l="1"/>
  <c r="I80" i="1" s="1"/>
  <c r="E81" i="1"/>
  <c r="E80" i="1" s="1"/>
  <c r="F77" i="1"/>
  <c r="I72" i="1" l="1"/>
  <c r="J170" i="1" l="1"/>
  <c r="AB166" i="1"/>
  <c r="AA166" i="1"/>
  <c r="J166" i="1"/>
  <c r="AB165" i="1"/>
  <c r="AA165" i="1"/>
  <c r="J165" i="1"/>
  <c r="AB164" i="1"/>
  <c r="AA164" i="1"/>
  <c r="J164" i="1"/>
  <c r="AB163" i="1"/>
  <c r="AA163" i="1"/>
  <c r="J163" i="1"/>
  <c r="AB162" i="1"/>
  <c r="AA162" i="1"/>
  <c r="J162" i="1"/>
  <c r="AB161" i="1"/>
  <c r="AA161" i="1"/>
  <c r="J161" i="1"/>
  <c r="AD160" i="1"/>
  <c r="AC160" i="1"/>
  <c r="Z160" i="1"/>
  <c r="Y160" i="1"/>
  <c r="J160" i="1"/>
  <c r="J159" i="1"/>
  <c r="AD158" i="1"/>
  <c r="AC158" i="1"/>
  <c r="Z158" i="1"/>
  <c r="J158" i="1"/>
  <c r="Z157" i="1"/>
  <c r="J157" i="1"/>
  <c r="J156" i="1"/>
  <c r="J155" i="1"/>
  <c r="J154" i="1"/>
  <c r="J153" i="1"/>
  <c r="E146" i="1"/>
  <c r="I145" i="1"/>
  <c r="E145" i="1"/>
  <c r="G144" i="1"/>
  <c r="I144" i="1" s="1"/>
  <c r="C144" i="1"/>
  <c r="E144" i="1" s="1"/>
  <c r="I143" i="1"/>
  <c r="E143" i="1"/>
  <c r="I142" i="1"/>
  <c r="E142" i="1"/>
  <c r="I135" i="1"/>
  <c r="E135" i="1"/>
  <c r="I134" i="1"/>
  <c r="E134" i="1"/>
  <c r="I133" i="1"/>
  <c r="E133" i="1"/>
  <c r="I132" i="1"/>
  <c r="E132" i="1"/>
  <c r="I131" i="1"/>
  <c r="E131" i="1"/>
  <c r="I126" i="1"/>
  <c r="J124" i="1"/>
  <c r="I124" i="1"/>
  <c r="I123" i="1"/>
  <c r="E123" i="1"/>
  <c r="I122" i="1"/>
  <c r="E122" i="1"/>
  <c r="I121" i="1"/>
  <c r="E121" i="1"/>
  <c r="I120" i="1"/>
  <c r="E120" i="1"/>
  <c r="H119" i="1"/>
  <c r="H117" i="1" s="1"/>
  <c r="G119" i="1"/>
  <c r="G117" i="1" s="1"/>
  <c r="E119" i="1"/>
  <c r="D117" i="1"/>
  <c r="D101" i="1" s="1"/>
  <c r="C117" i="1"/>
  <c r="I92" i="1"/>
  <c r="J92" i="1"/>
  <c r="F92" i="1"/>
  <c r="J85" i="1"/>
  <c r="I85" i="1"/>
  <c r="F85" i="1"/>
  <c r="E85" i="1"/>
  <c r="E92" i="1" s="1"/>
  <c r="H84" i="1"/>
  <c r="G84" i="1"/>
  <c r="E84" i="1"/>
  <c r="E78" i="1"/>
  <c r="J77" i="1"/>
  <c r="I77" i="1"/>
  <c r="E77" i="1"/>
  <c r="I76" i="1"/>
  <c r="J76" i="1"/>
  <c r="F76" i="1"/>
  <c r="E76" i="1"/>
  <c r="J75" i="1"/>
  <c r="I75" i="1"/>
  <c r="F75" i="1"/>
  <c r="E75" i="1"/>
  <c r="I73" i="1"/>
  <c r="J73" i="1"/>
  <c r="F73" i="1"/>
  <c r="E73" i="1"/>
  <c r="J72" i="1"/>
  <c r="F72" i="1"/>
  <c r="I71" i="1"/>
  <c r="J71" i="1"/>
  <c r="F71" i="1"/>
  <c r="E71" i="1"/>
  <c r="J70" i="1"/>
  <c r="F70" i="1"/>
  <c r="E70" i="1"/>
  <c r="I69" i="1"/>
  <c r="J69" i="1"/>
  <c r="E69" i="1"/>
  <c r="I67" i="1"/>
  <c r="E67" i="1"/>
  <c r="AA66" i="1"/>
  <c r="I66" i="1"/>
  <c r="J66" i="1"/>
  <c r="F66" i="1"/>
  <c r="E66" i="1"/>
  <c r="E65" i="1"/>
  <c r="AA64" i="1"/>
  <c r="I64" i="1"/>
  <c r="J64" i="1"/>
  <c r="F64" i="1"/>
  <c r="AA63" i="1"/>
  <c r="I63" i="1"/>
  <c r="J63" i="1"/>
  <c r="F63" i="1"/>
  <c r="E63" i="1"/>
  <c r="I62" i="1"/>
  <c r="F62" i="1"/>
  <c r="E62" i="1"/>
  <c r="I61" i="1"/>
  <c r="J61" i="1"/>
  <c r="F61" i="1"/>
  <c r="E61" i="1"/>
  <c r="F58" i="1"/>
  <c r="AC57" i="1"/>
  <c r="J56" i="1"/>
  <c r="F56" i="1"/>
  <c r="F55" i="1"/>
  <c r="AB57" i="1"/>
  <c r="J51" i="1"/>
  <c r="J49" i="1" s="1"/>
  <c r="AC49" i="1"/>
  <c r="AC50" i="1" s="1"/>
  <c r="I42" i="1"/>
  <c r="J42" i="1"/>
  <c r="E42" i="1"/>
  <c r="J41" i="1"/>
  <c r="I41" i="1"/>
  <c r="E41" i="1"/>
  <c r="H40" i="1"/>
  <c r="H100" i="1" s="1"/>
  <c r="G40" i="1"/>
  <c r="G100" i="1" s="1"/>
  <c r="D40" i="1"/>
  <c r="C40" i="1"/>
  <c r="C100" i="1" s="1"/>
  <c r="AA160" i="1" l="1"/>
  <c r="H101" i="1"/>
  <c r="I100" i="1"/>
  <c r="D100" i="1"/>
  <c r="F40" i="1"/>
  <c r="E117" i="1"/>
  <c r="I117" i="1"/>
  <c r="I119" i="1"/>
  <c r="J126" i="1"/>
  <c r="I65" i="1"/>
  <c r="Y47" i="1"/>
  <c r="E40" i="1"/>
  <c r="F84" i="1"/>
  <c r="I84" i="1"/>
  <c r="C101" i="1"/>
  <c r="F101" i="1" s="1"/>
  <c r="Y56" i="1"/>
  <c r="Y49" i="1"/>
  <c r="AC51" i="1"/>
  <c r="AA58" i="1"/>
  <c r="E68" i="1"/>
  <c r="E101" i="1" s="1"/>
  <c r="Y37" i="1"/>
  <c r="I40" i="1"/>
  <c r="J40" i="1"/>
  <c r="F54" i="1"/>
  <c r="J55" i="1"/>
  <c r="AC58" i="1"/>
  <c r="AC59" i="1" s="1"/>
  <c r="J58" i="1"/>
  <c r="J62" i="1"/>
  <c r="F68" i="1"/>
  <c r="J84" i="1"/>
  <c r="J54" i="1"/>
  <c r="AB58" i="1"/>
  <c r="I70" i="1"/>
  <c r="J81" i="1"/>
  <c r="J167" i="1"/>
  <c r="J168" i="1"/>
  <c r="J169" i="1"/>
  <c r="J171" i="1"/>
  <c r="J172" i="1"/>
  <c r="J173" i="1"/>
  <c r="E100" i="1" l="1"/>
  <c r="F100" i="1"/>
  <c r="I68" i="1"/>
  <c r="G101" i="1"/>
  <c r="I101" i="1" s="1"/>
  <c r="H103" i="1"/>
  <c r="C103" i="1"/>
  <c r="D103" i="1"/>
  <c r="J68" i="1"/>
  <c r="J100" i="1"/>
  <c r="E103" i="1" l="1"/>
  <c r="F103" i="1"/>
  <c r="J101" i="1"/>
  <c r="G103" i="1"/>
  <c r="J103" i="1" s="1"/>
  <c r="I103" i="1" l="1"/>
  <c r="AO158" i="1" l="1"/>
</calcChain>
</file>

<file path=xl/sharedStrings.xml><?xml version="1.0" encoding="utf-8"?>
<sst xmlns="http://schemas.openxmlformats.org/spreadsheetml/2006/main" count="282" uniqueCount="176">
  <si>
    <t>ПОГОДЖЕНО</t>
  </si>
  <si>
    <t>Начальник управління охорони здоров"я</t>
  </si>
  <si>
    <t xml:space="preserve">                                         Оксана МАКАРУК</t>
  </si>
  <si>
    <t>М.П.</t>
  </si>
  <si>
    <t>Звіт                                  Х</t>
  </si>
  <si>
    <t>х</t>
  </si>
  <si>
    <t>Уточнений звіт</t>
  </si>
  <si>
    <t>зробити позначку "Х"</t>
  </si>
  <si>
    <t>Коди</t>
  </si>
  <si>
    <t xml:space="preserve">Назва підприємства  </t>
  </si>
  <si>
    <t>за ЄДРПОУ     36421504</t>
  </si>
  <si>
    <t xml:space="preserve">Організаційно-правова форма </t>
  </si>
  <si>
    <t>Комунальне підприємство</t>
  </si>
  <si>
    <t>за КОПФГ        150</t>
  </si>
  <si>
    <t>Територія</t>
  </si>
  <si>
    <t>Фортечний  район міста Кропивницького</t>
  </si>
  <si>
    <t>за КОАТУУ      3510136300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</si>
  <si>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</si>
  <si>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Міністерство охорони здоров"я України</t>
  </si>
  <si>
    <t>за СПОДУ         01009</t>
  </si>
  <si>
    <t>01009</t>
  </si>
  <si>
    <t xml:space="preserve">Галузь     </t>
  </si>
  <si>
    <t xml:space="preserve">Охорона здоров'я </t>
  </si>
  <si>
    <t>за ЗКГНГ           91514</t>
  </si>
  <si>
    <t xml:space="preserve">Вид економічної діяльності    </t>
  </si>
  <si>
    <t>Загальна медична практика (основний)</t>
  </si>
  <si>
    <t>за  КВЕД            86.21</t>
  </si>
  <si>
    <t>86.21</t>
  </si>
  <si>
    <t xml:space="preserve">Одиниця виміру </t>
  </si>
  <si>
    <t>тис.грн.</t>
  </si>
  <si>
    <t>Форма власності</t>
  </si>
  <si>
    <t>комунальна</t>
  </si>
  <si>
    <t>Середньооблікова кількість штатних працівників</t>
  </si>
  <si>
    <t>Стандарти звітності П(с)БОУ</t>
  </si>
  <si>
    <t xml:space="preserve">Місцезнаходження  </t>
  </si>
  <si>
    <t>25009, м.Кропивницький, вулиця Габдрахманова, будинок 5</t>
  </si>
  <si>
    <t>Стандарти звітності МСФЗ</t>
  </si>
  <si>
    <t xml:space="preserve">Телефон </t>
  </si>
  <si>
    <t>+38 (0522) 332050</t>
  </si>
  <si>
    <t>Прізвище та ініціали керівника</t>
  </si>
  <si>
    <t>Амбарна Олена Миколаївна</t>
  </si>
  <si>
    <t>ЗВІТ ПРО ВИКОНАННЯ</t>
  </si>
  <si>
    <t>квартал, рік</t>
  </si>
  <si>
    <t>Найменування показника</t>
  </si>
  <si>
    <t>Код рядка</t>
  </si>
  <si>
    <t>план</t>
  </si>
  <si>
    <t>факт</t>
  </si>
  <si>
    <t>відхилення, +/-</t>
  </si>
  <si>
    <t>відхилення, %</t>
  </si>
  <si>
    <t>I. Формування фінансових результатів</t>
  </si>
  <si>
    <t>Доходи</t>
  </si>
  <si>
    <t>Дохід (виручка) від реалізації продукції (товарів, робіт, послуг), всього у т.ч.:</t>
  </si>
  <si>
    <t>від Національної служби охорони здоров'я України</t>
  </si>
  <si>
    <t>від платних послуг</t>
  </si>
  <si>
    <t>Продовження</t>
  </si>
  <si>
    <t xml:space="preserve"> згідно Бюджетного Кодексу України (ст.89,ч.1,п.3,пп.Ґ ) (комунальні  послуги)</t>
  </si>
  <si>
    <t>все остальні</t>
  </si>
  <si>
    <t>Інші доходи, у т.ч.:</t>
  </si>
  <si>
    <t>дохід від операційної оренди активів</t>
  </si>
  <si>
    <t>дохід від реалізації необоротних активів</t>
  </si>
  <si>
    <t>благодійні внески</t>
  </si>
  <si>
    <t>дохід від депозитів</t>
  </si>
  <si>
    <t>Видатки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</si>
  <si>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</si>
  <si>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</si>
  <si>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</si>
  <si>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</si>
  <si>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</si>
  <si>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</si>
  <si>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</si>
  <si>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у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</si>
  <si>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</si>
  <si>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</si>
  <si>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</si>
  <si>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</si>
  <si>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</si>
  <si>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</si>
  <si>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</si>
  <si>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</si>
  <si>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</si>
  <si>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Придбання основного капіталу</t>
  </si>
  <si>
    <t>Амортизація</t>
  </si>
  <si>
    <t>Інші видатки, у т.ч.</t>
  </si>
  <si>
    <t>Капітальний ремонт</t>
  </si>
  <si>
    <t>Адміністративні витрати, у тому числі</t>
  </si>
  <si>
    <t>Витрати на оплату праці</t>
  </si>
  <si>
    <t>Витрати на відрядження</t>
  </si>
  <si>
    <t>Матеріальні затрати</t>
  </si>
  <si>
    <t xml:space="preserve">Придбання  обладнання </t>
  </si>
  <si>
    <t>Витрати на зв'язок та Інтернет</t>
  </si>
  <si>
    <t>Інші адміністративні витрати (розшифрувати)</t>
  </si>
  <si>
    <t>Резервний фонд</t>
  </si>
  <si>
    <t>Усього доходів</t>
  </si>
  <si>
    <t>залишки на початок року без НСЗУ</t>
  </si>
  <si>
    <t>Усього видатків</t>
  </si>
  <si>
    <t>Нерозподілені доходи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</si>
  <si>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</si>
  <si>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</si>
  <si>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</si>
  <si>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</si>
  <si>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</si>
  <si>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</si>
  <si>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</si>
  <si>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</si>
  <si>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</si>
  <si>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</si>
  <si>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</si>
  <si>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</si>
  <si>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</si>
  <si>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</si>
  <si>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</si>
  <si>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</si>
  <si>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Вартість основних засобів</t>
  </si>
  <si>
    <t>IV. Фінансова діяльність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</si>
  <si>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</si>
  <si>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</si>
  <si>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</si>
  <si>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</si>
  <si>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</si>
  <si>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</si>
  <si>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Інші витрати</t>
  </si>
  <si>
    <t>V. Коефіцієнтний аналіз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</si>
  <si>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</si>
  <si>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</si>
  <si>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</si>
  <si>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</si>
  <si>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VІ.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</si>
  <si>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</si>
  <si>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</si>
  <si>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</si>
  <si>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</si>
  <si>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</si>
  <si>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VII.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</si>
  <si>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</si>
  <si>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</si>
  <si>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</si>
  <si>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</si>
  <si>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</si>
  <si>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</si>
  <si>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</si>
  <si>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</si>
  <si>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Спеціалісти</t>
  </si>
  <si>
    <t>Середньомісячні витрати на оплату праці одного працівника, у т.ч.:</t>
  </si>
  <si>
    <t>Заборгованість за заробітною платою, у т.ч.:</t>
  </si>
  <si>
    <r>
      <t xml:space="preserve">Керівник </t>
    </r>
    <r>
      <rPr>
        <sz val="12"/>
        <color theme="1"/>
        <rFont val="Times New Roman"/>
        <family val="1"/>
        <charset val="204"/>
      </rPr>
      <t>__</t>
    </r>
    <r>
      <rPr>
        <u/>
        <sz val="12"/>
        <color theme="1"/>
        <rFont val="Times New Roman"/>
        <family val="1"/>
        <charset val="204"/>
      </rPr>
      <t xml:space="preserve"> Генеральний директор</t>
    </r>
  </si>
  <si>
    <t>___________________</t>
  </si>
  <si>
    <t>Олена</t>
  </si>
  <si>
    <t>АМБАРНА</t>
  </si>
  <si>
    <t>(посада)</t>
  </si>
  <si>
    <t>підпис</t>
  </si>
  <si>
    <t>(ініціали, прізвище)</t>
  </si>
  <si>
    <t xml:space="preserve">                                       </t>
  </si>
  <si>
    <t>-</t>
  </si>
  <si>
    <t>Комунальне некомерційне підприємство "Поліклінічне об'єднання" Кропивницької міської ради"</t>
  </si>
  <si>
    <t>Кропивницькоъ міської ради                     .</t>
  </si>
  <si>
    <t>Реконструкція та реставрація</t>
  </si>
  <si>
    <t>"____" _______________ 2024р.</t>
  </si>
  <si>
    <t>Рік 2024</t>
  </si>
  <si>
    <t>Звітний період наростаючим підсумком з початку року (за 2024 рік)</t>
  </si>
  <si>
    <t>Капітальне будівництво інших об'єктів</t>
  </si>
  <si>
    <t>Програма розвитку галузі охорони здоров"я та надання медичної допомоги мешканцям Кропивницької міської територіальної громади на 2021-2025 роки</t>
  </si>
  <si>
    <t>Дохід з бюджету міської територіальної громади за програмою підтримки</t>
  </si>
  <si>
    <t>Дохід з бюджету міської територіальної громади, у т.ч.:</t>
  </si>
  <si>
    <t>від страхових відшкодувань</t>
  </si>
  <si>
    <t>Лікарські посади(ставки),                                                      включаючи головних і зубних лікарів</t>
  </si>
  <si>
    <t>031</t>
  </si>
  <si>
    <t>Х</t>
  </si>
  <si>
    <t>032</t>
  </si>
  <si>
    <t>033</t>
  </si>
  <si>
    <t>034</t>
  </si>
  <si>
    <t>035</t>
  </si>
  <si>
    <t>бактеріологи</t>
  </si>
  <si>
    <t>Звітний період ( ІІІ квартал 2024 року)</t>
  </si>
  <si>
    <t>ФІНАНСОВОГО ПЛАНУ ПІДПРИЄМСТВА ЗА   ІІІ квартал 2024 року</t>
  </si>
  <si>
    <r>
      <t>Звітний період (</t>
    </r>
    <r>
      <rPr>
        <u/>
        <sz val="12.5"/>
        <color theme="1"/>
        <rFont val="Times New Roman"/>
        <family val="1"/>
        <charset val="204"/>
      </rPr>
      <t xml:space="preserve">  ІІІ </t>
    </r>
    <r>
      <rPr>
        <sz val="12.5"/>
        <color theme="1"/>
        <rFont val="Times New Roman"/>
        <family val="1"/>
        <charset val="204"/>
      </rPr>
      <t>квартал  2024</t>
    </r>
    <r>
      <rPr>
        <u/>
        <sz val="12.5"/>
        <color theme="1"/>
        <rFont val="Times New Roman"/>
        <family val="1"/>
        <charset val="204"/>
      </rPr>
      <t xml:space="preserve"> </t>
    </r>
    <r>
      <rPr>
        <sz val="12.5"/>
        <color theme="1"/>
        <rFont val="Times New Roman"/>
        <family val="1"/>
        <charset val="204"/>
      </rPr>
      <t>року)</t>
    </r>
  </si>
  <si>
    <t>Звітний період (ІІІ квартал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</si>
</sst>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_(* #,##0.0_);_(* \(#,##0.0\);_(* &quot;-&quot;_);_(@_)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u/>
      <sz val="12.5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5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  <font>
      <sz val="14"/>
      <color rgb="FF528DD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3" fillId="0" borderId="0"/>
    <xf numFmtId="0" fontId="23" fillId="0" borderId="0"/>
    <xf numFmtId="0" fontId="23" fillId="0" borderId="0"/>
  </cellStyleXfs>
  <cellXfs count="20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4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 indent="2"/>
    </xf>
    <xf numFmtId="0" fontId="14" fillId="0" borderId="13" xfId="0" applyFont="1" applyBorder="1" applyAlignment="1">
      <alignment vertical="center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64" fontId="0" fillId="0" borderId="0" xfId="0" applyNumberFormat="1"/>
    <xf numFmtId="164" fontId="15" fillId="2" borderId="16" xfId="0" applyNumberFormat="1" applyFont="1" applyFill="1" applyBorder="1" applyAlignment="1">
      <alignment vertical="center" wrapText="1"/>
    </xf>
    <xf numFmtId="4" fontId="0" fillId="0" borderId="0" xfId="0" applyNumberFormat="1"/>
    <xf numFmtId="165" fontId="0" fillId="0" borderId="0" xfId="0" applyNumberFormat="1"/>
    <xf numFmtId="0" fontId="10" fillId="0" borderId="17" xfId="0" applyFont="1" applyBorder="1" applyAlignment="1">
      <alignment vertical="center" wrapText="1"/>
    </xf>
    <xf numFmtId="4" fontId="15" fillId="0" borderId="16" xfId="0" applyNumberFormat="1" applyFont="1" applyBorder="1" applyAlignment="1">
      <alignment vertical="center" wrapText="1"/>
    </xf>
    <xf numFmtId="164" fontId="18" fillId="0" borderId="16" xfId="0" applyNumberFormat="1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 indent="2"/>
    </xf>
    <xf numFmtId="4" fontId="18" fillId="0" borderId="16" xfId="0" applyNumberFormat="1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5" fillId="0" borderId="20" xfId="0" applyFont="1" applyBorder="1" applyAlignment="1">
      <alignment horizontal="right" vertical="center" wrapText="1"/>
    </xf>
    <xf numFmtId="0" fontId="21" fillId="0" borderId="17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" fontId="25" fillId="0" borderId="21" xfId="0" applyNumberFormat="1" applyFont="1" applyFill="1" applyBorder="1" applyAlignment="1">
      <alignment vertical="center" wrapText="1"/>
    </xf>
    <xf numFmtId="164" fontId="25" fillId="0" borderId="21" xfId="0" applyNumberFormat="1" applyFont="1" applyFill="1" applyBorder="1" applyAlignment="1">
      <alignment vertical="center" wrapText="1"/>
    </xf>
    <xf numFmtId="164" fontId="25" fillId="0" borderId="20" xfId="0" applyNumberFormat="1" applyFont="1" applyFill="1" applyBorder="1" applyAlignment="1">
      <alignment vertical="center" wrapText="1"/>
    </xf>
    <xf numFmtId="4" fontId="24" fillId="0" borderId="20" xfId="1" applyNumberFormat="1" applyFont="1" applyFill="1" applyBorder="1" applyAlignment="1">
      <alignment horizontal="right" vertical="center" wrapText="1"/>
    </xf>
    <xf numFmtId="4" fontId="11" fillId="0" borderId="21" xfId="0" applyNumberFormat="1" applyFont="1" applyFill="1" applyBorder="1" applyAlignment="1">
      <alignment vertical="center" wrapText="1"/>
    </xf>
    <xf numFmtId="164" fontId="11" fillId="0" borderId="21" xfId="0" applyNumberFormat="1" applyFont="1" applyFill="1" applyBorder="1" applyAlignment="1">
      <alignment vertical="center" wrapText="1"/>
    </xf>
    <xf numFmtId="164" fontId="11" fillId="0" borderId="20" xfId="0" applyNumberFormat="1" applyFont="1" applyFill="1" applyBorder="1" applyAlignment="1">
      <alignment vertical="center" wrapText="1"/>
    </xf>
    <xf numFmtId="4" fontId="22" fillId="0" borderId="4" xfId="2" applyNumberFormat="1" applyFont="1" applyFill="1" applyBorder="1" applyAlignment="1">
      <alignment horizontal="right" vertical="center" wrapText="1"/>
    </xf>
    <xf numFmtId="166" fontId="24" fillId="0" borderId="22" xfId="3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/>
    <xf numFmtId="0" fontId="0" fillId="0" borderId="0" xfId="0" applyBorder="1"/>
    <xf numFmtId="4" fontId="22" fillId="0" borderId="0" xfId="2" applyNumberFormat="1" applyFont="1" applyFill="1" applyBorder="1" applyAlignment="1">
      <alignment horizontal="right" vertical="center" wrapText="1"/>
    </xf>
    <xf numFmtId="166" fontId="24" fillId="0" borderId="0" xfId="3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/>
    <xf numFmtId="165" fontId="0" fillId="0" borderId="0" xfId="0" applyNumberFormat="1" applyBorder="1"/>
    <xf numFmtId="164" fontId="0" fillId="0" borderId="0" xfId="0" applyNumberFormat="1" applyBorder="1"/>
    <xf numFmtId="164" fontId="18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165" fontId="25" fillId="0" borderId="0" xfId="0" applyNumberFormat="1" applyFont="1" applyBorder="1" applyAlignment="1">
      <alignment vertical="center" wrapText="1"/>
    </xf>
    <xf numFmtId="164" fontId="20" fillId="3" borderId="21" xfId="0" applyNumberFormat="1" applyFont="1" applyFill="1" applyBorder="1" applyAlignment="1">
      <alignment vertical="center" wrapText="1"/>
    </xf>
    <xf numFmtId="164" fontId="25" fillId="3" borderId="21" xfId="0" applyNumberFormat="1" applyFont="1" applyFill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4" fontId="18" fillId="0" borderId="20" xfId="0" applyNumberFormat="1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7" fillId="0" borderId="23" xfId="0" applyFont="1" applyBorder="1"/>
    <xf numFmtId="0" fontId="1" fillId="0" borderId="23" xfId="0" applyFont="1" applyBorder="1"/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indent="15"/>
    </xf>
    <xf numFmtId="0" fontId="27" fillId="0" borderId="0" xfId="0" applyFont="1"/>
    <xf numFmtId="0" fontId="0" fillId="2" borderId="0" xfId="0" applyFill="1"/>
    <xf numFmtId="4" fontId="22" fillId="2" borderId="7" xfId="0" applyNumberFormat="1" applyFont="1" applyFill="1" applyBorder="1" applyAlignment="1">
      <alignment horizontal="right" vertical="center" wrapText="1"/>
    </xf>
    <xf numFmtId="164" fontId="22" fillId="2" borderId="7" xfId="0" applyNumberFormat="1" applyFont="1" applyFill="1" applyBorder="1" applyAlignment="1">
      <alignment horizontal="right" vertical="center" wrapText="1"/>
    </xf>
    <xf numFmtId="4" fontId="24" fillId="2" borderId="21" xfId="1" applyNumberFormat="1" applyFont="1" applyFill="1" applyBorder="1" applyAlignment="1">
      <alignment horizontal="right" vertical="center" wrapText="1"/>
    </xf>
    <xf numFmtId="4" fontId="25" fillId="2" borderId="21" xfId="0" applyNumberFormat="1" applyFont="1" applyFill="1" applyBorder="1" applyAlignment="1">
      <alignment vertical="center" wrapText="1"/>
    </xf>
    <xf numFmtId="164" fontId="25" fillId="2" borderId="21" xfId="0" applyNumberFormat="1" applyFont="1" applyFill="1" applyBorder="1" applyAlignment="1">
      <alignment vertical="center" wrapText="1"/>
    </xf>
    <xf numFmtId="4" fontId="3" fillId="2" borderId="21" xfId="1" applyNumberFormat="1" applyFont="1" applyFill="1" applyBorder="1" applyAlignment="1">
      <alignment horizontal="right" vertical="center" wrapText="1"/>
    </xf>
    <xf numFmtId="4" fontId="11" fillId="2" borderId="21" xfId="0" applyNumberFormat="1" applyFont="1" applyFill="1" applyBorder="1" applyAlignment="1">
      <alignment vertical="center" wrapText="1"/>
    </xf>
    <xf numFmtId="164" fontId="11" fillId="2" borderId="21" xfId="0" applyNumberFormat="1" applyFont="1" applyFill="1" applyBorder="1" applyAlignment="1">
      <alignment vertical="center" wrapText="1"/>
    </xf>
    <xf numFmtId="2" fontId="11" fillId="2" borderId="21" xfId="0" applyNumberFormat="1" applyFont="1" applyFill="1" applyBorder="1" applyAlignment="1">
      <alignment vertical="center" wrapText="1"/>
    </xf>
    <xf numFmtId="164" fontId="11" fillId="2" borderId="18" xfId="0" applyNumberFormat="1" applyFont="1" applyFill="1" applyBorder="1" applyAlignment="1">
      <alignment vertical="center" wrapText="1"/>
    </xf>
    <xf numFmtId="164" fontId="18" fillId="2" borderId="21" xfId="0" applyNumberFormat="1" applyFont="1" applyFill="1" applyBorder="1" applyAlignment="1">
      <alignment vertical="center" wrapText="1"/>
    </xf>
    <xf numFmtId="0" fontId="30" fillId="0" borderId="0" xfId="0" applyFont="1"/>
    <xf numFmtId="2" fontId="0" fillId="0" borderId="0" xfId="0" applyNumberFormat="1"/>
    <xf numFmtId="164" fontId="22" fillId="0" borderId="7" xfId="0" applyNumberFormat="1" applyFont="1" applyFill="1" applyBorder="1" applyAlignment="1">
      <alignment horizontal="right" vertical="center" wrapText="1"/>
    </xf>
    <xf numFmtId="4" fontId="18" fillId="2" borderId="20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165" fontId="0" fillId="4" borderId="0" xfId="0" applyNumberFormat="1" applyFill="1"/>
    <xf numFmtId="164" fontId="25" fillId="2" borderId="8" xfId="0" applyNumberFormat="1" applyFont="1" applyFill="1" applyBorder="1" applyAlignment="1">
      <alignment vertical="center" wrapText="1"/>
    </xf>
    <xf numFmtId="164" fontId="0" fillId="4" borderId="0" xfId="0" applyNumberFormat="1" applyFill="1"/>
    <xf numFmtId="0" fontId="3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11" fillId="0" borderId="18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17" xfId="0" applyNumberFormat="1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5" fillId="0" borderId="16" xfId="0" applyNumberFormat="1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vertical="center" wrapText="1"/>
    </xf>
    <xf numFmtId="165" fontId="15" fillId="0" borderId="15" xfId="0" applyNumberFormat="1" applyFont="1" applyFill="1" applyBorder="1" applyAlignment="1">
      <alignment vertical="center" wrapText="1"/>
    </xf>
    <xf numFmtId="165" fontId="15" fillId="0" borderId="16" xfId="0" applyNumberFormat="1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center" wrapText="1" indent="2"/>
    </xf>
    <xf numFmtId="0" fontId="14" fillId="0" borderId="13" xfId="0" applyFont="1" applyFill="1" applyBorder="1" applyAlignment="1">
      <alignment vertical="center" wrapText="1"/>
    </xf>
    <xf numFmtId="0" fontId="0" fillId="0" borderId="17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horizontal="left" vertical="center" wrapText="1" indent="2"/>
    </xf>
    <xf numFmtId="0" fontId="3" fillId="0" borderId="26" xfId="0" applyFont="1" applyFill="1" applyBorder="1" applyAlignment="1">
      <alignment horizontal="left" vertical="center" wrapText="1" indent="2"/>
    </xf>
    <xf numFmtId="165" fontId="15" fillId="0" borderId="16" xfId="0" applyNumberFormat="1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left" vertical="center" wrapText="1" indent="2"/>
    </xf>
    <xf numFmtId="0" fontId="10" fillId="0" borderId="28" xfId="0" applyFont="1" applyFill="1" applyBorder="1" applyAlignment="1">
      <alignment horizontal="center" vertical="center" wrapText="1"/>
    </xf>
    <xf numFmtId="164" fontId="15" fillId="0" borderId="29" xfId="0" applyNumberFormat="1" applyFont="1" applyFill="1" applyBorder="1" applyAlignment="1">
      <alignment vertical="center" wrapText="1"/>
    </xf>
    <xf numFmtId="0" fontId="3" fillId="0" borderId="30" xfId="0" applyFont="1" applyFill="1" applyBorder="1" applyAlignment="1">
      <alignment horizontal="left" vertical="center" wrapText="1" indent="2"/>
    </xf>
    <xf numFmtId="0" fontId="10" fillId="0" borderId="31" xfId="0" applyFont="1" applyFill="1" applyBorder="1" applyAlignment="1">
      <alignment horizontal="center" vertical="center" wrapText="1"/>
    </xf>
    <xf numFmtId="164" fontId="15" fillId="0" borderId="32" xfId="0" applyNumberFormat="1" applyFont="1" applyFill="1" applyBorder="1" applyAlignment="1">
      <alignment vertical="center" wrapText="1"/>
    </xf>
    <xf numFmtId="4" fontId="15" fillId="0" borderId="32" xfId="0" applyNumberFormat="1" applyFont="1" applyFill="1" applyBorder="1" applyAlignment="1">
      <alignment vertical="center" wrapText="1"/>
    </xf>
    <xf numFmtId="165" fontId="15" fillId="0" borderId="32" xfId="0" applyNumberFormat="1" applyFont="1" applyFill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164" fontId="15" fillId="0" borderId="21" xfId="0" applyNumberFormat="1" applyFont="1" applyFill="1" applyBorder="1" applyAlignment="1">
      <alignment vertical="center" wrapText="1"/>
    </xf>
    <xf numFmtId="0" fontId="11" fillId="0" borderId="17" xfId="0" applyFont="1" applyFill="1" applyBorder="1" applyAlignment="1">
      <alignment horizontal="left" vertical="center" wrapText="1" indent="2"/>
    </xf>
    <xf numFmtId="0" fontId="10" fillId="0" borderId="17" xfId="0" applyFont="1" applyFill="1" applyBorder="1" applyAlignment="1">
      <alignment horizontal="left" vertical="center" wrapText="1" indent="2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8" xfId="0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vertical="center" wrapText="1"/>
    </xf>
    <xf numFmtId="164" fontId="15" fillId="0" borderId="13" xfId="0" applyNumberFormat="1" applyFont="1" applyFill="1" applyBorder="1" applyAlignment="1">
      <alignment vertical="center" wrapText="1"/>
    </xf>
    <xf numFmtId="165" fontId="15" fillId="0" borderId="13" xfId="0" applyNumberFormat="1" applyFont="1" applyFill="1" applyBorder="1" applyAlignment="1">
      <alignment vertical="center" wrapText="1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5" xfId="0" applyFont="1" applyFill="1" applyBorder="1" applyAlignment="1">
      <alignment horizontal="center" vertical="center" wrapText="1"/>
    </xf>
    <xf numFmtId="165" fontId="15" fillId="0" borderId="35" xfId="0" applyNumberFormat="1" applyFont="1" applyFill="1" applyBorder="1" applyAlignment="1">
      <alignment vertical="center" wrapText="1"/>
    </xf>
    <xf numFmtId="164" fontId="15" fillId="0" borderId="36" xfId="0" applyNumberFormat="1" applyFont="1" applyFill="1" applyBorder="1" applyAlignment="1">
      <alignment vertical="center" wrapText="1"/>
    </xf>
    <xf numFmtId="165" fontId="15" fillId="0" borderId="37" xfId="0" applyNumberFormat="1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164" fontId="18" fillId="0" borderId="16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vertical="center" wrapText="1" indent="2"/>
    </xf>
    <xf numFmtId="49" fontId="18" fillId="0" borderId="15" xfId="0" applyNumberFormat="1" applyFont="1" applyFill="1" applyBorder="1" applyAlignment="1">
      <alignment vertical="center" wrapText="1"/>
    </xf>
    <xf numFmtId="164" fontId="18" fillId="0" borderId="15" xfId="0" applyNumberFormat="1" applyFont="1" applyFill="1" applyBorder="1" applyAlignment="1">
      <alignment vertical="center" wrapText="1"/>
    </xf>
    <xf numFmtId="164" fontId="18" fillId="0" borderId="15" xfId="0" applyNumberFormat="1" applyFont="1" applyFill="1" applyBorder="1" applyAlignment="1">
      <alignment horizontal="right" vertical="center" wrapText="1"/>
    </xf>
    <xf numFmtId="0" fontId="8" fillId="0" borderId="17" xfId="0" applyFont="1" applyFill="1" applyBorder="1" applyAlignment="1">
      <alignment vertical="center" wrapText="1"/>
    </xf>
    <xf numFmtId="164" fontId="19" fillId="0" borderId="16" xfId="0" applyNumberFormat="1" applyFont="1" applyFill="1" applyBorder="1" applyAlignment="1">
      <alignment vertical="center" wrapText="1"/>
    </xf>
    <xf numFmtId="164" fontId="20" fillId="0" borderId="16" xfId="0" applyNumberFormat="1" applyFont="1" applyFill="1" applyBorder="1" applyAlignment="1">
      <alignment vertical="center" wrapText="1"/>
    </xf>
    <xf numFmtId="4" fontId="15" fillId="0" borderId="16" xfId="0" applyNumberFormat="1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 indent="4"/>
    </xf>
    <xf numFmtId="0" fontId="10" fillId="0" borderId="14" xfId="0" applyFont="1" applyFill="1" applyBorder="1" applyAlignment="1">
      <alignment horizontal="left" vertical="center" wrapText="1" indent="2"/>
    </xf>
    <xf numFmtId="0" fontId="10" fillId="0" borderId="15" xfId="0" applyFont="1" applyFill="1" applyBorder="1" applyAlignment="1">
      <alignment horizontal="left" vertical="center" wrapText="1" indent="4"/>
    </xf>
    <xf numFmtId="164" fontId="18" fillId="0" borderId="16" xfId="0" applyNumberFormat="1" applyFont="1" applyFill="1" applyBorder="1" applyAlignment="1">
      <alignment horizontal="righ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0" xfId="0" applyFont="1" applyFill="1" applyBorder="1" applyAlignment="1">
      <alignment horizontal="center" vertical="center" wrapText="1"/>
    </xf>
    <xf numFmtId="166" fontId="29" fillId="0" borderId="24" xfId="0" applyNumberFormat="1" applyFont="1" applyFill="1" applyBorder="1" applyAlignment="1">
      <alignment horizontal="center" vertical="center" wrapText="1"/>
    </xf>
    <xf numFmtId="164" fontId="18" fillId="0" borderId="20" xfId="0" applyNumberFormat="1" applyFont="1" applyFill="1" applyBorder="1" applyAlignment="1">
      <alignment vertical="center" wrapText="1"/>
    </xf>
    <xf numFmtId="4" fontId="18" fillId="0" borderId="16" xfId="0" applyNumberFormat="1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 wrapText="1"/>
    </xf>
  </cellXfs>
  <cellStyles count="4">
    <cellStyle name="Звичайний" xfId="0" builtinId="0"/>
    <cellStyle name="Обычный 19" xfId="2"/>
    <cellStyle name="Обычный 2" xfId="1"/>
    <cellStyle name="Обычный 2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93"/>
  <sheetViews>
    <sheetView tabSelected="1" topLeftCell="A16" zoomScale="86" zoomScaleNormal="86" workbookViewId="0">
      <selection activeCell="G93" sqref="G93"/>
    </sheetView>
  </sheetViews>
  <sheetFormatPr defaultRowHeight="15" x14ac:dyDescent="0.25"/>
  <cols>
    <col min="1" max="1" width="60.140625" customWidth="1"/>
    <col min="2" max="2" width="10.140625" customWidth="1"/>
    <col min="3" max="3" width="12.85546875" customWidth="1"/>
    <col min="4" max="4" width="11.7109375" customWidth="1"/>
    <col min="5" max="5" width="11.85546875" customWidth="1"/>
    <col min="6" max="6" width="10" customWidth="1"/>
    <col min="7" max="7" width="14.28515625" customWidth="1"/>
    <col min="8" max="8" width="12.5703125" customWidth="1"/>
    <col min="9" max="9" width="13" customWidth="1"/>
    <col min="10" max="10" width="32.5703125" customWidth="1"/>
    <col min="11" max="11" width="17.140625" hidden="1" customWidth="1"/>
    <col min="12" max="12" width="9.140625" hidden="1" customWidth="1"/>
    <col min="13" max="13" width="9.42578125" hidden="1" customWidth="1"/>
    <col min="14" max="14" width="16.7109375" hidden="1" customWidth="1"/>
    <col min="15" max="15" width="9.140625" hidden="1" customWidth="1"/>
    <col min="16" max="16" width="16.42578125" hidden="1" customWidth="1"/>
    <col min="17" max="23" width="9.140625" hidden="1" customWidth="1"/>
    <col min="24" max="24" width="2.42578125" hidden="1" customWidth="1"/>
    <col min="25" max="25" width="10.28515625" hidden="1" customWidth="1"/>
    <col min="26" max="26" width="12.85546875" hidden="1" customWidth="1"/>
    <col min="27" max="27" width="10.7109375" hidden="1" customWidth="1"/>
    <col min="28" max="28" width="11" hidden="1" customWidth="1"/>
    <col min="29" max="29" width="9.85546875" hidden="1" customWidth="1"/>
    <col min="30" max="40" width="0" hidden="1" customWidth="1"/>
    <col min="41" max="41" width="10.28515625" hidden="1" customWidth="1"/>
    <col min="42" max="45" width="0" hidden="1" customWidth="1"/>
    <col min="46" max="46" width="11.28515625" hidden="1" customWidth="1"/>
    <col min="47" max="47" width="11.85546875" hidden="1" customWidth="1"/>
    <col min="48" max="48" width="15.5703125" hidden="1" customWidth="1"/>
    <col min="49" max="49" width="10.5703125" hidden="1" customWidth="1"/>
    <col min="50" max="50" width="11.42578125" hidden="1" customWidth="1"/>
    <col min="51" max="51" width="12.85546875" hidden="1" customWidth="1"/>
    <col min="52" max="74" width="0" hidden="1" customWidth="1"/>
    <col min="75" max="75" width="0.7109375" customWidth="1"/>
    <col min="77" max="77" width="11.7109375" customWidth="1"/>
  </cols>
  <sheetData>
    <row r="1" spans="1:11" ht="7.15" customHeight="1" x14ac:dyDescent="0.25">
      <c r="A1" s="1"/>
    </row>
    <row r="2" spans="1:11" s="2" customFormat="1" ht="18.75" x14ac:dyDescent="0.25">
      <c r="A2" s="2" t="s">
        <v>0</v>
      </c>
      <c r="B2" s="3"/>
      <c r="C2" s="3"/>
      <c r="D2" s="3"/>
      <c r="E2" s="3"/>
      <c r="G2" s="4"/>
      <c r="I2" s="5"/>
      <c r="J2" s="5"/>
      <c r="K2" s="5"/>
    </row>
    <row r="3" spans="1:11" s="2" customFormat="1" ht="18.75" x14ac:dyDescent="0.25">
      <c r="A3" s="6" t="s">
        <v>1</v>
      </c>
      <c r="B3" s="3"/>
      <c r="C3" s="3"/>
      <c r="D3" s="3"/>
      <c r="E3" s="3"/>
      <c r="G3" s="4"/>
      <c r="I3" s="171"/>
      <c r="J3" s="171"/>
      <c r="K3" s="7"/>
    </row>
    <row r="4" spans="1:11" s="2" customFormat="1" ht="18.75" x14ac:dyDescent="0.25">
      <c r="A4" s="6" t="s">
        <v>154</v>
      </c>
      <c r="B4" s="3"/>
      <c r="C4" s="3"/>
      <c r="D4" s="3"/>
      <c r="E4" s="3"/>
      <c r="G4" s="4"/>
      <c r="I4" s="5"/>
      <c r="J4" s="8"/>
      <c r="K4" s="9"/>
    </row>
    <row r="5" spans="1:11" s="2" customFormat="1" ht="18.75" x14ac:dyDescent="0.25">
      <c r="A5" s="6" t="s">
        <v>2</v>
      </c>
      <c r="B5" s="3"/>
      <c r="C5" s="3"/>
      <c r="D5" s="3"/>
      <c r="E5" s="3"/>
      <c r="G5" s="4"/>
      <c r="I5" s="172"/>
      <c r="J5" s="172"/>
      <c r="K5" s="172"/>
    </row>
    <row r="6" spans="1:11" s="2" customFormat="1" ht="18.75" x14ac:dyDescent="0.25">
      <c r="A6" s="2" t="s">
        <v>156</v>
      </c>
      <c r="B6" s="3"/>
      <c r="C6" s="3"/>
      <c r="D6" s="3"/>
      <c r="E6" s="3"/>
      <c r="G6" s="4"/>
      <c r="I6" s="5"/>
      <c r="J6" s="5"/>
      <c r="K6" s="5"/>
    </row>
    <row r="7" spans="1:11" s="2" customFormat="1" ht="18.75" x14ac:dyDescent="0.25">
      <c r="A7" s="2" t="s">
        <v>3</v>
      </c>
      <c r="B7" s="3"/>
      <c r="C7" s="3"/>
      <c r="D7" s="3"/>
      <c r="E7" s="3"/>
      <c r="G7" s="4"/>
    </row>
    <row r="8" spans="1:11" s="2" customFormat="1" ht="18.75" x14ac:dyDescent="0.25">
      <c r="B8" s="3"/>
      <c r="C8" s="3"/>
      <c r="D8" s="3"/>
      <c r="E8" s="3"/>
      <c r="G8" s="4"/>
    </row>
    <row r="9" spans="1:11" s="2" customFormat="1" ht="18.75" x14ac:dyDescent="0.25">
      <c r="B9" s="3"/>
      <c r="C9" s="3"/>
      <c r="D9" s="3"/>
      <c r="E9" s="3"/>
      <c r="G9" s="4"/>
      <c r="J9" s="10" t="s">
        <v>4</v>
      </c>
      <c r="K9" s="11" t="s">
        <v>5</v>
      </c>
    </row>
    <row r="10" spans="1:11" s="2" customFormat="1" ht="18.75" x14ac:dyDescent="0.25">
      <c r="B10" s="3"/>
      <c r="C10" s="3"/>
      <c r="D10" s="3"/>
      <c r="E10" s="3"/>
      <c r="G10" s="4"/>
      <c r="J10" s="10" t="s">
        <v>6</v>
      </c>
      <c r="K10" s="11"/>
    </row>
    <row r="11" spans="1:11" s="2" customFormat="1" ht="18.75" x14ac:dyDescent="0.25">
      <c r="B11" s="3"/>
      <c r="C11" s="3"/>
      <c r="D11" s="3"/>
      <c r="E11" s="3"/>
      <c r="G11" s="4"/>
      <c r="J11" s="173" t="s">
        <v>7</v>
      </c>
      <c r="K11" s="173"/>
    </row>
    <row r="12" spans="1:11" s="2" customFormat="1" ht="18.75" x14ac:dyDescent="0.25">
      <c r="B12" s="3"/>
      <c r="C12" s="3"/>
      <c r="D12" s="3"/>
      <c r="E12" s="3"/>
      <c r="G12" s="4"/>
    </row>
    <row r="13" spans="1:11" s="2" customFormat="1" ht="18.75" x14ac:dyDescent="0.25">
      <c r="B13" s="3"/>
      <c r="C13" s="3"/>
      <c r="D13" s="3"/>
      <c r="E13" s="3"/>
      <c r="G13" s="4"/>
    </row>
    <row r="14" spans="1:11" s="2" customFormat="1" ht="18.75" x14ac:dyDescent="0.25">
      <c r="A14" s="174" t="s">
        <v>157</v>
      </c>
      <c r="B14" s="175"/>
      <c r="C14" s="175"/>
      <c r="D14" s="175"/>
      <c r="E14" s="175"/>
      <c r="F14" s="175"/>
      <c r="G14" s="175"/>
      <c r="H14" s="175"/>
      <c r="I14" s="176"/>
      <c r="J14" s="177" t="s">
        <v>8</v>
      </c>
      <c r="K14" s="177"/>
    </row>
    <row r="15" spans="1:11" s="2" customFormat="1" ht="40.15" customHeight="1" x14ac:dyDescent="0.25">
      <c r="A15" s="12" t="s">
        <v>9</v>
      </c>
      <c r="B15" s="169" t="s">
        <v>153</v>
      </c>
      <c r="C15" s="169"/>
      <c r="D15" s="169"/>
      <c r="E15" s="169"/>
      <c r="F15" s="169"/>
      <c r="G15" s="169"/>
      <c r="H15" s="169"/>
      <c r="I15" s="170"/>
      <c r="J15" s="10" t="s">
        <v>10</v>
      </c>
      <c r="K15" s="99">
        <v>36421504</v>
      </c>
    </row>
    <row r="16" spans="1:11" s="2" customFormat="1" ht="18.75" x14ac:dyDescent="0.25">
      <c r="A16" s="12" t="s">
        <v>11</v>
      </c>
      <c r="B16" s="169" t="s">
        <v>12</v>
      </c>
      <c r="C16" s="169"/>
      <c r="D16" s="169"/>
      <c r="E16" s="169"/>
      <c r="F16" s="169"/>
      <c r="G16" s="169"/>
      <c r="H16" s="169"/>
      <c r="I16" s="170"/>
      <c r="J16" s="10" t="s">
        <v>13</v>
      </c>
      <c r="K16" s="99">
        <v>150</v>
      </c>
    </row>
    <row r="17" spans="1:11" s="2" customFormat="1" ht="18.75" x14ac:dyDescent="0.25">
      <c r="A17" s="12" t="s">
        <v>14</v>
      </c>
      <c r="B17" s="169" t="s">
        <v>15</v>
      </c>
      <c r="C17" s="169"/>
      <c r="D17" s="169"/>
      <c r="E17" s="169"/>
      <c r="F17" s="169"/>
      <c r="G17" s="169"/>
      <c r="H17" s="169"/>
      <c r="I17" s="170"/>
      <c r="J17" s="10" t="s">
        <v>16</v>
      </c>
      <c r="K17" s="99">
        <v>3510136300</v>
      </c>
    </row>
    <row r="18" spans="1:11" s="2" customFormat="1" ht="18.75" x14ac:dyDescent="0.25">
      <c r="A18" s="12" t="s">
        <v>17</v>
      </c>
      <c r="B18" s="169" t="s">
        <v>18</v>
      </c>
      <c r="C18" s="169"/>
      <c r="D18" s="169"/>
      <c r="E18" s="169"/>
      <c r="F18" s="169"/>
      <c r="G18" s="169"/>
      <c r="H18" s="169"/>
      <c r="I18" s="170"/>
      <c r="J18" s="10" t="s">
        <v>19</v>
      </c>
      <c r="K18" s="99" t="s">
        <v>20</v>
      </c>
    </row>
    <row r="19" spans="1:11" s="2" customFormat="1" ht="18.75" x14ac:dyDescent="0.25">
      <c r="A19" s="12" t="s">
        <v>21</v>
      </c>
      <c r="B19" s="169" t="s">
        <v>22</v>
      </c>
      <c r="C19" s="169"/>
      <c r="D19" s="169"/>
      <c r="E19" s="169"/>
      <c r="F19" s="169"/>
      <c r="G19" s="169"/>
      <c r="H19" s="169"/>
      <c r="I19" s="170"/>
      <c r="J19" s="10" t="s">
        <v>23</v>
      </c>
      <c r="K19" s="99">
        <v>91514</v>
      </c>
    </row>
    <row r="20" spans="1:11" s="2" customFormat="1" ht="18.75" x14ac:dyDescent="0.25">
      <c r="A20" s="12" t="s">
        <v>24</v>
      </c>
      <c r="B20" s="169" t="s">
        <v>25</v>
      </c>
      <c r="C20" s="169"/>
      <c r="D20" s="169"/>
      <c r="E20" s="169"/>
      <c r="F20" s="169"/>
      <c r="G20" s="169"/>
      <c r="H20" s="169"/>
      <c r="I20" s="170"/>
      <c r="J20" s="10" t="s">
        <v>26</v>
      </c>
      <c r="K20" s="99" t="s">
        <v>27</v>
      </c>
    </row>
    <row r="21" spans="1:11" s="2" customFormat="1" ht="18.75" x14ac:dyDescent="0.25">
      <c r="A21" s="12" t="s">
        <v>28</v>
      </c>
      <c r="B21" s="169" t="s">
        <v>29</v>
      </c>
      <c r="C21" s="169"/>
      <c r="D21" s="169"/>
      <c r="E21" s="169"/>
      <c r="F21" s="169"/>
      <c r="G21" s="169"/>
      <c r="H21" s="169"/>
      <c r="I21" s="170"/>
      <c r="J21" s="178"/>
      <c r="K21" s="178"/>
    </row>
    <row r="22" spans="1:11" s="2" customFormat="1" ht="18.75" x14ac:dyDescent="0.25">
      <c r="A22" s="13" t="s">
        <v>30</v>
      </c>
      <c r="B22" s="179" t="s">
        <v>31</v>
      </c>
      <c r="C22" s="179"/>
      <c r="D22" s="179"/>
      <c r="E22" s="179"/>
      <c r="F22" s="179"/>
      <c r="G22" s="179"/>
      <c r="H22" s="179"/>
      <c r="I22" s="180"/>
      <c r="J22" s="178"/>
      <c r="K22" s="178"/>
    </row>
    <row r="23" spans="1:11" s="2" customFormat="1" ht="18.75" x14ac:dyDescent="0.25">
      <c r="A23" s="12" t="s">
        <v>32</v>
      </c>
      <c r="B23" s="14">
        <v>433</v>
      </c>
      <c r="C23" s="14"/>
      <c r="D23" s="14"/>
      <c r="E23" s="14"/>
      <c r="F23" s="14"/>
      <c r="G23" s="14"/>
      <c r="H23" s="14"/>
      <c r="I23" s="15"/>
      <c r="J23" s="98" t="s">
        <v>33</v>
      </c>
      <c r="K23" s="16"/>
    </row>
    <row r="24" spans="1:11" s="2" customFormat="1" ht="18.75" x14ac:dyDescent="0.25">
      <c r="A24" s="13" t="s">
        <v>34</v>
      </c>
      <c r="B24" s="179" t="s">
        <v>35</v>
      </c>
      <c r="C24" s="179"/>
      <c r="D24" s="179"/>
      <c r="E24" s="179"/>
      <c r="F24" s="179"/>
      <c r="G24" s="179"/>
      <c r="H24" s="179"/>
      <c r="I24" s="180"/>
      <c r="J24" s="98" t="s">
        <v>36</v>
      </c>
      <c r="K24" s="16"/>
    </row>
    <row r="25" spans="1:11" s="2" customFormat="1" ht="18.75" x14ac:dyDescent="0.25">
      <c r="A25" s="13" t="s">
        <v>37</v>
      </c>
      <c r="B25" s="179" t="s">
        <v>38</v>
      </c>
      <c r="C25" s="179"/>
      <c r="D25" s="179"/>
      <c r="E25" s="179"/>
      <c r="F25" s="179"/>
      <c r="G25" s="179"/>
      <c r="H25" s="179"/>
      <c r="I25" s="180"/>
      <c r="J25" s="178"/>
      <c r="K25" s="178"/>
    </row>
    <row r="26" spans="1:11" s="2" customFormat="1" ht="18.75" x14ac:dyDescent="0.25">
      <c r="A26" s="12" t="s">
        <v>39</v>
      </c>
      <c r="B26" s="169" t="s">
        <v>40</v>
      </c>
      <c r="C26" s="169"/>
      <c r="D26" s="169"/>
      <c r="E26" s="169"/>
      <c r="F26" s="169"/>
      <c r="G26" s="169"/>
      <c r="H26" s="169"/>
      <c r="I26" s="170"/>
      <c r="J26" s="178"/>
      <c r="K26" s="178"/>
    </row>
    <row r="27" spans="1:11" x14ac:dyDescent="0.25">
      <c r="A27" s="1"/>
    </row>
    <row r="28" spans="1:11" x14ac:dyDescent="0.25">
      <c r="A28" s="17"/>
    </row>
    <row r="29" spans="1:11" ht="16.5" x14ac:dyDescent="0.25">
      <c r="A29" s="184" t="s">
        <v>41</v>
      </c>
      <c r="B29" s="184"/>
      <c r="C29" s="184"/>
      <c r="D29" s="184"/>
      <c r="E29" s="184"/>
      <c r="F29" s="184"/>
      <c r="G29" s="184"/>
      <c r="H29" s="184"/>
      <c r="I29" s="184"/>
      <c r="J29" s="184"/>
    </row>
    <row r="30" spans="1:11" ht="16.5" x14ac:dyDescent="0.25">
      <c r="A30" s="185" t="s">
        <v>173</v>
      </c>
      <c r="B30" s="184"/>
      <c r="C30" s="184"/>
      <c r="D30" s="184"/>
      <c r="E30" s="184"/>
      <c r="F30" s="184"/>
      <c r="G30" s="184"/>
      <c r="H30" s="184"/>
      <c r="I30" s="184"/>
      <c r="J30" s="184"/>
    </row>
    <row r="31" spans="1:11" ht="16.5" x14ac:dyDescent="0.25">
      <c r="A31" s="18"/>
      <c r="B31" s="18"/>
      <c r="C31" s="186" t="s">
        <v>42</v>
      </c>
      <c r="D31" s="186"/>
      <c r="G31" s="18"/>
      <c r="H31" s="18"/>
      <c r="I31" s="18"/>
      <c r="J31" s="18"/>
    </row>
    <row r="32" spans="1:11" ht="19.5" thickBot="1" x14ac:dyDescent="0.3">
      <c r="A32" s="19"/>
    </row>
    <row r="33" spans="1:25" ht="16.5" x14ac:dyDescent="0.25">
      <c r="A33" s="20"/>
      <c r="B33" s="21"/>
      <c r="C33" s="187"/>
      <c r="D33" s="188"/>
      <c r="E33" s="188"/>
      <c r="F33" s="189"/>
      <c r="G33" s="187"/>
      <c r="H33" s="188"/>
      <c r="I33" s="188"/>
      <c r="J33" s="189"/>
    </row>
    <row r="34" spans="1:25" ht="17.25" thickBot="1" x14ac:dyDescent="0.3">
      <c r="A34" s="22"/>
      <c r="B34" s="23"/>
      <c r="C34" s="190" t="s">
        <v>172</v>
      </c>
      <c r="D34" s="191"/>
      <c r="E34" s="191"/>
      <c r="F34" s="192"/>
      <c r="G34" s="190" t="s">
        <v>158</v>
      </c>
      <c r="H34" s="191"/>
      <c r="I34" s="191"/>
      <c r="J34" s="192"/>
    </row>
    <row r="35" spans="1:25" ht="33" x14ac:dyDescent="0.25">
      <c r="A35" s="24" t="s">
        <v>43</v>
      </c>
      <c r="B35" s="25" t="s">
        <v>44</v>
      </c>
      <c r="C35" s="26"/>
      <c r="D35" s="26"/>
      <c r="E35" s="26"/>
      <c r="F35" s="26"/>
      <c r="G35" s="26"/>
      <c r="H35" s="26"/>
      <c r="I35" s="26"/>
      <c r="J35" s="26"/>
    </row>
    <row r="36" spans="1:25" ht="33.75" thickBot="1" x14ac:dyDescent="0.3">
      <c r="A36" s="27"/>
      <c r="B36" s="28"/>
      <c r="C36" s="29" t="s">
        <v>45</v>
      </c>
      <c r="D36" s="29" t="s">
        <v>46</v>
      </c>
      <c r="E36" s="29" t="s">
        <v>47</v>
      </c>
      <c r="F36" s="29" t="s">
        <v>48</v>
      </c>
      <c r="G36" s="29" t="s">
        <v>45</v>
      </c>
      <c r="H36" s="29" t="s">
        <v>46</v>
      </c>
      <c r="I36" s="29" t="s">
        <v>47</v>
      </c>
      <c r="J36" s="29" t="s">
        <v>48</v>
      </c>
    </row>
    <row r="37" spans="1:25" ht="17.25" thickBot="1" x14ac:dyDescent="0.3">
      <c r="A37" s="30">
        <v>1</v>
      </c>
      <c r="B37" s="29">
        <v>2</v>
      </c>
      <c r="C37" s="29">
        <v>3</v>
      </c>
      <c r="D37" s="29">
        <v>4</v>
      </c>
      <c r="E37" s="29">
        <v>5</v>
      </c>
      <c r="F37" s="29">
        <v>6</v>
      </c>
      <c r="G37" s="29">
        <v>7</v>
      </c>
      <c r="H37" s="29">
        <v>8</v>
      </c>
      <c r="I37" s="29">
        <v>9</v>
      </c>
      <c r="J37" s="29">
        <v>10</v>
      </c>
      <c r="Y37" s="31">
        <f>D49+D51</f>
        <v>4556.8</v>
      </c>
    </row>
    <row r="38" spans="1:25" ht="17.25" thickBot="1" x14ac:dyDescent="0.3">
      <c r="A38" s="193" t="s">
        <v>49</v>
      </c>
      <c r="B38" s="194"/>
      <c r="C38" s="194"/>
      <c r="D38" s="194"/>
      <c r="E38" s="194"/>
      <c r="F38" s="194"/>
      <c r="G38" s="194"/>
      <c r="H38" s="194"/>
      <c r="I38" s="194"/>
      <c r="J38" s="195"/>
    </row>
    <row r="39" spans="1:25" ht="17.25" thickBot="1" x14ac:dyDescent="0.3">
      <c r="A39" s="193" t="s">
        <v>50</v>
      </c>
      <c r="B39" s="194"/>
      <c r="C39" s="194"/>
      <c r="D39" s="194"/>
      <c r="E39" s="194"/>
      <c r="F39" s="194"/>
      <c r="G39" s="194"/>
      <c r="H39" s="194"/>
      <c r="I39" s="194"/>
      <c r="J39" s="195"/>
    </row>
    <row r="40" spans="1:25" ht="38.25" thickBot="1" x14ac:dyDescent="0.3">
      <c r="A40" s="103" t="s">
        <v>51</v>
      </c>
      <c r="B40" s="104">
        <v>1010</v>
      </c>
      <c r="C40" s="105">
        <f>C41+C42</f>
        <v>45834.2</v>
      </c>
      <c r="D40" s="105">
        <f>D41+D42</f>
        <v>28366.2</v>
      </c>
      <c r="E40" s="105">
        <f>C40-D40</f>
        <v>17467.999999999996</v>
      </c>
      <c r="F40" s="105">
        <f>D40/C40*100</f>
        <v>61.888720649645904</v>
      </c>
      <c r="G40" s="105">
        <f t="shared" ref="G40" si="0">G41+G42</f>
        <v>135549.5</v>
      </c>
      <c r="H40" s="105">
        <f>H41+H42</f>
        <v>80176.800000000003</v>
      </c>
      <c r="I40" s="105">
        <f>G40-H40</f>
        <v>55372.7</v>
      </c>
      <c r="J40" s="105">
        <f>H40/G40*100</f>
        <v>59.149462004655128</v>
      </c>
    </row>
    <row r="41" spans="1:25" ht="38.25" thickBot="1" x14ac:dyDescent="0.3">
      <c r="A41" s="103" t="s">
        <v>52</v>
      </c>
      <c r="B41" s="104">
        <v>1011</v>
      </c>
      <c r="C41" s="105">
        <v>44934.2</v>
      </c>
      <c r="D41" s="105">
        <v>26630.400000000001</v>
      </c>
      <c r="E41" s="105">
        <f>C41-D41</f>
        <v>18303.799999999996</v>
      </c>
      <c r="F41" s="105">
        <f>D41/C41*100</f>
        <v>59.265325742975293</v>
      </c>
      <c r="G41" s="105">
        <v>132699.5</v>
      </c>
      <c r="H41" s="105">
        <v>76449.100000000006</v>
      </c>
      <c r="I41" s="105">
        <f>G41-H41</f>
        <v>56250.399999999994</v>
      </c>
      <c r="J41" s="105">
        <f>H41/G41*100</f>
        <v>57.610691826269132</v>
      </c>
    </row>
    <row r="42" spans="1:25" ht="19.5" thickBot="1" x14ac:dyDescent="0.3">
      <c r="A42" s="103" t="s">
        <v>53</v>
      </c>
      <c r="B42" s="104">
        <v>1012</v>
      </c>
      <c r="C42" s="105">
        <v>900</v>
      </c>
      <c r="D42" s="105">
        <v>1735.8</v>
      </c>
      <c r="E42" s="105">
        <f t="shared" ref="E42" si="1">C42-D42</f>
        <v>-835.8</v>
      </c>
      <c r="F42" s="105">
        <f>D42/C42*100</f>
        <v>192.86666666666665</v>
      </c>
      <c r="G42" s="105">
        <v>2850</v>
      </c>
      <c r="H42" s="105">
        <v>3727.7</v>
      </c>
      <c r="I42" s="105">
        <f t="shared" ref="I42" si="2">G42-H42</f>
        <v>-877.69999999999982</v>
      </c>
      <c r="J42" s="105">
        <f t="shared" ref="J42:J51" si="3">H42/G42*100</f>
        <v>130.79649122807018</v>
      </c>
    </row>
    <row r="43" spans="1:25" ht="18.75" x14ac:dyDescent="0.25">
      <c r="A43" s="106"/>
      <c r="B43" s="107"/>
      <c r="C43" s="108"/>
      <c r="D43" s="108"/>
      <c r="E43" s="108"/>
      <c r="F43" s="108"/>
      <c r="G43" s="108"/>
      <c r="H43" s="108"/>
      <c r="I43" s="108"/>
      <c r="J43" s="108"/>
    </row>
    <row r="44" spans="1:25" ht="19.5" thickBot="1" x14ac:dyDescent="0.3">
      <c r="A44" s="109"/>
      <c r="B44" s="110"/>
      <c r="C44" s="111">
        <v>2</v>
      </c>
      <c r="D44" s="112"/>
      <c r="E44" s="112"/>
      <c r="F44" s="112"/>
      <c r="G44" s="112"/>
      <c r="H44" s="112"/>
      <c r="I44" s="112"/>
      <c r="J44" s="113" t="s">
        <v>54</v>
      </c>
    </row>
    <row r="45" spans="1:25" ht="17.25" thickBot="1" x14ac:dyDescent="0.3">
      <c r="A45" s="114"/>
      <c r="B45" s="115"/>
      <c r="C45" s="181" t="s">
        <v>174</v>
      </c>
      <c r="D45" s="182"/>
      <c r="E45" s="182"/>
      <c r="F45" s="183"/>
      <c r="G45" s="181" t="s">
        <v>158</v>
      </c>
      <c r="H45" s="182"/>
      <c r="I45" s="182"/>
      <c r="J45" s="183"/>
    </row>
    <row r="46" spans="1:25" ht="33" x14ac:dyDescent="0.25">
      <c r="A46" s="116" t="s">
        <v>43</v>
      </c>
      <c r="B46" s="117" t="s">
        <v>44</v>
      </c>
      <c r="C46" s="118"/>
      <c r="D46" s="118"/>
      <c r="E46" s="118"/>
      <c r="F46" s="118"/>
      <c r="G46" s="118"/>
      <c r="H46" s="118"/>
      <c r="I46" s="118"/>
      <c r="J46" s="118"/>
    </row>
    <row r="47" spans="1:25" ht="33.75" thickBot="1" x14ac:dyDescent="0.3">
      <c r="A47" s="119"/>
      <c r="B47" s="120"/>
      <c r="C47" s="104" t="s">
        <v>45</v>
      </c>
      <c r="D47" s="104" t="s">
        <v>46</v>
      </c>
      <c r="E47" s="104" t="s">
        <v>47</v>
      </c>
      <c r="F47" s="104" t="s">
        <v>48</v>
      </c>
      <c r="G47" s="104" t="s">
        <v>45</v>
      </c>
      <c r="H47" s="104" t="s">
        <v>46</v>
      </c>
      <c r="I47" s="104" t="s">
        <v>47</v>
      </c>
      <c r="J47" s="104" t="s">
        <v>48</v>
      </c>
      <c r="Y47" s="33">
        <f>D40+D49+D51+D54</f>
        <v>36087.9</v>
      </c>
    </row>
    <row r="48" spans="1:25" ht="17.25" thickBot="1" x14ac:dyDescent="0.3">
      <c r="A48" s="121">
        <v>1</v>
      </c>
      <c r="B48" s="104">
        <v>2</v>
      </c>
      <c r="C48" s="104">
        <v>3</v>
      </c>
      <c r="D48" s="104">
        <v>4</v>
      </c>
      <c r="E48" s="104">
        <v>5</v>
      </c>
      <c r="F48" s="104">
        <v>6</v>
      </c>
      <c r="G48" s="104">
        <v>7</v>
      </c>
      <c r="H48" s="104">
        <v>8</v>
      </c>
      <c r="I48" s="104">
        <v>9</v>
      </c>
      <c r="J48" s="104">
        <v>10</v>
      </c>
    </row>
    <row r="49" spans="1:40" ht="38.25" thickBot="1" x14ac:dyDescent="0.3">
      <c r="A49" s="122" t="s">
        <v>161</v>
      </c>
      <c r="B49" s="104">
        <v>1020</v>
      </c>
      <c r="C49" s="105">
        <f>C50</f>
        <v>2713</v>
      </c>
      <c r="D49" s="105">
        <f t="shared" ref="D49:J49" si="4">D50</f>
        <v>3993.4</v>
      </c>
      <c r="E49" s="105">
        <f>D49-C49</f>
        <v>1280.4000000000001</v>
      </c>
      <c r="F49" s="105">
        <f>F50</f>
        <v>147.19498709915223</v>
      </c>
      <c r="G49" s="105">
        <f t="shared" si="4"/>
        <v>13614.900000000001</v>
      </c>
      <c r="H49" s="105">
        <f t="shared" si="4"/>
        <v>10662.9</v>
      </c>
      <c r="I49" s="105">
        <f>H49-G49</f>
        <v>-2952.0000000000018</v>
      </c>
      <c r="J49" s="105">
        <f t="shared" si="4"/>
        <v>78.31787233104906</v>
      </c>
      <c r="Y49" s="31">
        <f>D49+D51</f>
        <v>4556.8</v>
      </c>
      <c r="AC49" s="33">
        <f>G50+G52</f>
        <v>21980.600000000002</v>
      </c>
    </row>
    <row r="50" spans="1:40" ht="75.75" thickBot="1" x14ac:dyDescent="0.3">
      <c r="A50" s="123" t="s">
        <v>160</v>
      </c>
      <c r="B50" s="104">
        <v>1021</v>
      </c>
      <c r="C50" s="105">
        <v>2713</v>
      </c>
      <c r="D50" s="105">
        <f t="shared" ref="D50:H50" si="5">D51+D52</f>
        <v>3993.4</v>
      </c>
      <c r="E50" s="105">
        <f>D50-C50</f>
        <v>1280.4000000000001</v>
      </c>
      <c r="F50" s="105">
        <f>D50/C50*100</f>
        <v>147.19498709915223</v>
      </c>
      <c r="G50" s="105">
        <f t="shared" si="5"/>
        <v>13614.900000000001</v>
      </c>
      <c r="H50" s="105">
        <f t="shared" si="5"/>
        <v>10662.9</v>
      </c>
      <c r="I50" s="105">
        <f>H50-G50</f>
        <v>-2952.0000000000018</v>
      </c>
      <c r="J50" s="105">
        <f>H50/G50*100</f>
        <v>78.31787233104906</v>
      </c>
      <c r="Y50" t="s">
        <v>56</v>
      </c>
      <c r="AC50" s="33">
        <f>AC49-5286.9</f>
        <v>16693.700000000004</v>
      </c>
      <c r="AN50" s="31"/>
    </row>
    <row r="51" spans="1:40" ht="38.25" thickBot="1" x14ac:dyDescent="0.3">
      <c r="A51" s="124" t="s">
        <v>55</v>
      </c>
      <c r="B51" s="104">
        <v>1031</v>
      </c>
      <c r="C51" s="105">
        <v>670.9</v>
      </c>
      <c r="D51" s="105">
        <v>563.4</v>
      </c>
      <c r="E51" s="105">
        <f>D51-C51</f>
        <v>-107.5</v>
      </c>
      <c r="F51" s="105">
        <f>D51/C51*100</f>
        <v>83.976747652407212</v>
      </c>
      <c r="G51" s="105">
        <v>5249.2</v>
      </c>
      <c r="H51" s="105">
        <v>5146.8999999999996</v>
      </c>
      <c r="I51" s="105">
        <f>H51-G51</f>
        <v>-102.30000000000018</v>
      </c>
      <c r="J51" s="125">
        <f t="shared" si="3"/>
        <v>98.051131601005864</v>
      </c>
      <c r="AC51" s="33">
        <f>D50+D52</f>
        <v>7423.4</v>
      </c>
    </row>
    <row r="52" spans="1:40" ht="38.25" thickBot="1" x14ac:dyDescent="0.3">
      <c r="A52" s="126" t="s">
        <v>162</v>
      </c>
      <c r="B52" s="127">
        <v>1030</v>
      </c>
      <c r="C52" s="128">
        <f>C53</f>
        <v>2042.1</v>
      </c>
      <c r="D52" s="128">
        <f t="shared" ref="D52:AM52" si="6">D53</f>
        <v>3430</v>
      </c>
      <c r="E52" s="128">
        <f t="shared" si="6"/>
        <v>1387.9</v>
      </c>
      <c r="F52" s="128">
        <f t="shared" si="6"/>
        <v>167.96435042358357</v>
      </c>
      <c r="G52" s="128">
        <f t="shared" si="6"/>
        <v>8365.7000000000007</v>
      </c>
      <c r="H52" s="128">
        <f t="shared" si="6"/>
        <v>5516</v>
      </c>
      <c r="I52" s="128">
        <f>H52-G52</f>
        <v>-2849.7000000000007</v>
      </c>
      <c r="J52" s="128">
        <f t="shared" si="6"/>
        <v>65.935904945192874</v>
      </c>
      <c r="K52" s="32">
        <f t="shared" si="6"/>
        <v>0</v>
      </c>
      <c r="L52" s="32">
        <f t="shared" si="6"/>
        <v>0</v>
      </c>
      <c r="M52" s="32">
        <f t="shared" si="6"/>
        <v>0</v>
      </c>
      <c r="N52" s="32">
        <f t="shared" si="6"/>
        <v>0</v>
      </c>
      <c r="O52" s="32">
        <f t="shared" si="6"/>
        <v>0</v>
      </c>
      <c r="P52" s="32">
        <f t="shared" si="6"/>
        <v>0</v>
      </c>
      <c r="Q52" s="32">
        <f t="shared" si="6"/>
        <v>0</v>
      </c>
      <c r="R52" s="32">
        <f t="shared" si="6"/>
        <v>0</v>
      </c>
      <c r="S52" s="32">
        <f t="shared" si="6"/>
        <v>0</v>
      </c>
      <c r="T52" s="32">
        <f t="shared" si="6"/>
        <v>0</v>
      </c>
      <c r="U52" s="32">
        <f t="shared" si="6"/>
        <v>0</v>
      </c>
      <c r="V52" s="32">
        <f t="shared" si="6"/>
        <v>0</v>
      </c>
      <c r="W52" s="32">
        <f t="shared" si="6"/>
        <v>0</v>
      </c>
      <c r="X52" s="32">
        <f t="shared" si="6"/>
        <v>0</v>
      </c>
      <c r="Y52" s="32">
        <f t="shared" si="6"/>
        <v>0</v>
      </c>
      <c r="Z52" s="32">
        <f t="shared" si="6"/>
        <v>0</v>
      </c>
      <c r="AA52" s="32">
        <f t="shared" si="6"/>
        <v>0</v>
      </c>
      <c r="AB52" s="32">
        <f t="shared" si="6"/>
        <v>0</v>
      </c>
      <c r="AC52" s="32">
        <f t="shared" si="6"/>
        <v>0</v>
      </c>
      <c r="AD52" s="32">
        <f t="shared" si="6"/>
        <v>0</v>
      </c>
      <c r="AE52" s="32">
        <f t="shared" si="6"/>
        <v>0</v>
      </c>
      <c r="AF52" s="32">
        <f t="shared" si="6"/>
        <v>0</v>
      </c>
      <c r="AG52" s="32">
        <f t="shared" si="6"/>
        <v>0</v>
      </c>
      <c r="AH52" s="32">
        <f t="shared" si="6"/>
        <v>0</v>
      </c>
      <c r="AI52" s="32">
        <f t="shared" si="6"/>
        <v>0</v>
      </c>
      <c r="AJ52" s="32">
        <f t="shared" si="6"/>
        <v>0</v>
      </c>
      <c r="AK52" s="32">
        <f t="shared" si="6"/>
        <v>0</v>
      </c>
      <c r="AL52" s="32">
        <f t="shared" si="6"/>
        <v>0</v>
      </c>
      <c r="AM52" s="32">
        <f t="shared" si="6"/>
        <v>0</v>
      </c>
    </row>
    <row r="53" spans="1:40" ht="75.75" thickBot="1" x14ac:dyDescent="0.3">
      <c r="A53" s="129" t="s">
        <v>160</v>
      </c>
      <c r="B53" s="130"/>
      <c r="C53" s="131">
        <v>2042.1</v>
      </c>
      <c r="D53" s="131">
        <v>3430</v>
      </c>
      <c r="E53" s="131">
        <f>D53-C53</f>
        <v>1387.9</v>
      </c>
      <c r="F53" s="132">
        <f>D53/C53*100</f>
        <v>167.96435042358357</v>
      </c>
      <c r="G53" s="131">
        <v>8365.7000000000007</v>
      </c>
      <c r="H53" s="131">
        <v>5516</v>
      </c>
      <c r="I53" s="131">
        <f>H53-G53</f>
        <v>-2849.7000000000007</v>
      </c>
      <c r="J53" s="133">
        <f>H53/G53*100</f>
        <v>65.935904945192874</v>
      </c>
    </row>
    <row r="54" spans="1:40" ht="19.5" thickBot="1" x14ac:dyDescent="0.3">
      <c r="A54" s="134" t="s">
        <v>57</v>
      </c>
      <c r="B54" s="121">
        <v>1040</v>
      </c>
      <c r="C54" s="105">
        <f>C55+C56+C57+C58+C59</f>
        <v>1916.5</v>
      </c>
      <c r="D54" s="105">
        <f>D55+D56+D57+D58+D59</f>
        <v>3164.9</v>
      </c>
      <c r="E54" s="135">
        <f t="shared" ref="E54:E57" si="7">D54-C54</f>
        <v>1248.4000000000001</v>
      </c>
      <c r="F54" s="105">
        <f t="shared" ref="F54:F58" si="8">D54/C54*100</f>
        <v>165.13957735455259</v>
      </c>
      <c r="G54" s="105">
        <f>G55+G56+G57+G58+G59</f>
        <v>21401.9</v>
      </c>
      <c r="H54" s="105">
        <f>H55+H56+H57+H58+H59</f>
        <v>11833.300000000001</v>
      </c>
      <c r="I54" s="105">
        <f t="shared" ref="I54:I58" si="9">H54-G54</f>
        <v>-9568.6</v>
      </c>
      <c r="J54" s="125">
        <f t="shared" ref="J54:J59" si="10">H54/G54*100</f>
        <v>55.290885388680444</v>
      </c>
    </row>
    <row r="55" spans="1:40" ht="19.5" thickBot="1" x14ac:dyDescent="0.3">
      <c r="A55" s="136" t="s">
        <v>58</v>
      </c>
      <c r="B55" s="104">
        <v>1041</v>
      </c>
      <c r="C55" s="105">
        <v>106.5</v>
      </c>
      <c r="D55" s="105">
        <v>161.4</v>
      </c>
      <c r="E55" s="135">
        <f t="shared" si="7"/>
        <v>54.900000000000006</v>
      </c>
      <c r="F55" s="105">
        <f t="shared" si="8"/>
        <v>151.54929577464787</v>
      </c>
      <c r="G55" s="105">
        <v>234.5</v>
      </c>
      <c r="H55" s="105">
        <v>340.9</v>
      </c>
      <c r="I55" s="105">
        <f t="shared" si="9"/>
        <v>106.39999999999998</v>
      </c>
      <c r="J55" s="125">
        <f t="shared" si="10"/>
        <v>145.37313432835819</v>
      </c>
    </row>
    <row r="56" spans="1:40" ht="19.5" thickBot="1" x14ac:dyDescent="0.3">
      <c r="A56" s="136" t="s">
        <v>59</v>
      </c>
      <c r="B56" s="104">
        <v>1043</v>
      </c>
      <c r="C56" s="105">
        <v>10</v>
      </c>
      <c r="D56" s="105">
        <v>6.9</v>
      </c>
      <c r="E56" s="135">
        <f t="shared" si="7"/>
        <v>-3.0999999999999996</v>
      </c>
      <c r="F56" s="105">
        <f t="shared" si="8"/>
        <v>69</v>
      </c>
      <c r="G56" s="105">
        <v>75.7</v>
      </c>
      <c r="H56" s="105">
        <v>7</v>
      </c>
      <c r="I56" s="105">
        <f t="shared" si="9"/>
        <v>-68.7</v>
      </c>
      <c r="J56" s="125">
        <f t="shared" si="10"/>
        <v>9.2470277410832225</v>
      </c>
      <c r="Y56" s="31">
        <f>D49+D51+D54+D42+D41</f>
        <v>36087.9</v>
      </c>
      <c r="AB56">
        <v>146241.12</v>
      </c>
      <c r="AC56">
        <v>236.58727999999999</v>
      </c>
    </row>
    <row r="57" spans="1:40" ht="17.25" thickBot="1" x14ac:dyDescent="0.3">
      <c r="A57" s="137" t="s">
        <v>60</v>
      </c>
      <c r="B57" s="104">
        <v>1044</v>
      </c>
      <c r="C57" s="105">
        <v>0</v>
      </c>
      <c r="D57" s="105">
        <v>0</v>
      </c>
      <c r="E57" s="135">
        <f t="shared" si="7"/>
        <v>0</v>
      </c>
      <c r="F57" s="105">
        <v>0</v>
      </c>
      <c r="G57" s="105">
        <v>0</v>
      </c>
      <c r="H57" s="105">
        <v>0.3</v>
      </c>
      <c r="I57" s="105">
        <f t="shared" si="9"/>
        <v>0.3</v>
      </c>
      <c r="J57" s="125">
        <v>0</v>
      </c>
      <c r="AB57" s="33" t="e">
        <f>H41+H42+H50+H52+#REF!+H54</f>
        <v>#REF!</v>
      </c>
      <c r="AC57" s="33">
        <f>AB56-AC56</f>
        <v>146004.53271999999</v>
      </c>
    </row>
    <row r="58" spans="1:40" ht="17.25" thickBot="1" x14ac:dyDescent="0.3">
      <c r="A58" s="138" t="s">
        <v>61</v>
      </c>
      <c r="B58" s="139">
        <v>1045</v>
      </c>
      <c r="C58" s="140">
        <v>1800</v>
      </c>
      <c r="D58" s="140">
        <v>2996.6</v>
      </c>
      <c r="E58" s="140">
        <f>D58-C58</f>
        <v>1196.5999999999999</v>
      </c>
      <c r="F58" s="140">
        <f t="shared" si="8"/>
        <v>166.47777777777776</v>
      </c>
      <c r="G58" s="140">
        <v>21085</v>
      </c>
      <c r="H58" s="141">
        <v>11485.1</v>
      </c>
      <c r="I58" s="141">
        <f t="shared" si="9"/>
        <v>-9599.9</v>
      </c>
      <c r="J58" s="142">
        <f t="shared" si="10"/>
        <v>54.47047664216268</v>
      </c>
      <c r="AA58" s="33" t="e">
        <f>G58+G57+G56+G55+#REF!+G52+G50+G40</f>
        <v>#REF!</v>
      </c>
      <c r="AB58" s="33" t="e">
        <f>H58+H57+H56+H55+#REF!+H52+H50+H40</f>
        <v>#REF!</v>
      </c>
      <c r="AC58" s="33" t="e">
        <f>AC57-AB57</f>
        <v>#REF!</v>
      </c>
    </row>
    <row r="59" spans="1:40" ht="17.25" thickBot="1" x14ac:dyDescent="0.3">
      <c r="A59" s="143" t="s">
        <v>163</v>
      </c>
      <c r="B59" s="144">
        <v>1046</v>
      </c>
      <c r="C59" s="145">
        <v>0</v>
      </c>
      <c r="D59" s="145">
        <v>0</v>
      </c>
      <c r="E59" s="145">
        <f>D59-C59</f>
        <v>0</v>
      </c>
      <c r="F59" s="145">
        <v>0</v>
      </c>
      <c r="G59" s="145">
        <v>6.7</v>
      </c>
      <c r="H59" s="145">
        <v>0</v>
      </c>
      <c r="I59" s="146">
        <f>H59-G59</f>
        <v>-6.7</v>
      </c>
      <c r="J59" s="147">
        <f t="shared" si="10"/>
        <v>0</v>
      </c>
      <c r="AC59" s="33" t="e">
        <f>AC57-AC58</f>
        <v>#REF!</v>
      </c>
    </row>
    <row r="60" spans="1:40" ht="17.25" thickBot="1" x14ac:dyDescent="0.3">
      <c r="A60" s="196" t="s">
        <v>62</v>
      </c>
      <c r="B60" s="197"/>
      <c r="C60" s="197"/>
      <c r="D60" s="197"/>
      <c r="E60" s="197"/>
      <c r="F60" s="197"/>
      <c r="G60" s="197"/>
      <c r="H60" s="197"/>
      <c r="I60" s="197"/>
      <c r="J60" s="198"/>
      <c r="AB60" s="34"/>
    </row>
    <row r="61" spans="1:40" ht="17.25" thickBot="1" x14ac:dyDescent="0.3">
      <c r="A61" s="148" t="s">
        <v>63</v>
      </c>
      <c r="B61" s="104">
        <v>1050</v>
      </c>
      <c r="C61" s="149">
        <v>33797.199999999997</v>
      </c>
      <c r="D61" s="149">
        <v>27193.7</v>
      </c>
      <c r="E61" s="149">
        <f>D61-C61</f>
        <v>-6603.4999999999964</v>
      </c>
      <c r="F61" s="149">
        <f>D61/C61*100</f>
        <v>80.46139916916195</v>
      </c>
      <c r="G61" s="149">
        <v>88194.1</v>
      </c>
      <c r="H61" s="149">
        <v>76182.3</v>
      </c>
      <c r="I61" s="149">
        <f>H61-G61</f>
        <v>-12011.800000000003</v>
      </c>
      <c r="J61" s="149">
        <f>H61/G61*100</f>
        <v>86.380268067818591</v>
      </c>
    </row>
    <row r="62" spans="1:40" ht="17.25" thickBot="1" x14ac:dyDescent="0.3">
      <c r="A62" s="148" t="s">
        <v>64</v>
      </c>
      <c r="B62" s="104">
        <v>1060</v>
      </c>
      <c r="C62" s="149">
        <v>7435.2</v>
      </c>
      <c r="D62" s="149">
        <v>5707.6</v>
      </c>
      <c r="E62" s="149">
        <f t="shared" ref="E62:E70" si="11">D62-C62</f>
        <v>-1727.5999999999995</v>
      </c>
      <c r="F62" s="149">
        <f t="shared" ref="F62:F70" si="12">D62/C62*100</f>
        <v>76.764579298472142</v>
      </c>
      <c r="G62" s="149">
        <v>19313.599999999999</v>
      </c>
      <c r="H62" s="149">
        <v>16187.6</v>
      </c>
      <c r="I62" s="149">
        <f t="shared" ref="I62:I70" si="13">H62-G62</f>
        <v>-3125.9999999999982</v>
      </c>
      <c r="J62" s="149">
        <f t="shared" ref="J62:J70" si="14">H62/G62*100</f>
        <v>83.814514124761828</v>
      </c>
    </row>
    <row r="63" spans="1:40" ht="17.25" thickBot="1" x14ac:dyDescent="0.3">
      <c r="A63" s="148" t="s">
        <v>65</v>
      </c>
      <c r="B63" s="104">
        <v>1070</v>
      </c>
      <c r="C63" s="149">
        <v>1248</v>
      </c>
      <c r="D63" s="149">
        <v>2130</v>
      </c>
      <c r="E63" s="149">
        <f t="shared" si="11"/>
        <v>882</v>
      </c>
      <c r="F63" s="149">
        <f t="shared" si="12"/>
        <v>170.67307692307691</v>
      </c>
      <c r="G63" s="149">
        <v>3955.7</v>
      </c>
      <c r="H63" s="149">
        <v>3530.6</v>
      </c>
      <c r="I63" s="149">
        <f t="shared" si="13"/>
        <v>-425.09999999999991</v>
      </c>
      <c r="J63" s="149">
        <f t="shared" si="14"/>
        <v>89.253482316656971</v>
      </c>
      <c r="Y63">
        <v>1937.1</v>
      </c>
      <c r="AA63" s="31">
        <f>G63-Y63</f>
        <v>2018.6</v>
      </c>
    </row>
    <row r="64" spans="1:40" ht="17.25" thickBot="1" x14ac:dyDescent="0.3">
      <c r="A64" s="148" t="s">
        <v>66</v>
      </c>
      <c r="B64" s="104">
        <v>1080</v>
      </c>
      <c r="C64" s="149">
        <v>5482</v>
      </c>
      <c r="D64" s="149">
        <v>6570.9</v>
      </c>
      <c r="E64" s="149">
        <f>D64-C64</f>
        <v>1088.8999999999996</v>
      </c>
      <c r="F64" s="149">
        <f t="shared" si="12"/>
        <v>119.86318861729295</v>
      </c>
      <c r="G64" s="149">
        <v>24762.2</v>
      </c>
      <c r="H64" s="149">
        <v>22396.6</v>
      </c>
      <c r="I64" s="149">
        <f t="shared" si="13"/>
        <v>-2365.6000000000022</v>
      </c>
      <c r="J64" s="149">
        <f t="shared" si="14"/>
        <v>90.446729288996934</v>
      </c>
      <c r="Y64">
        <v>2600.4424800000002</v>
      </c>
      <c r="AA64" s="31">
        <f>G64-Y64</f>
        <v>22161.757519999999</v>
      </c>
    </row>
    <row r="65" spans="1:77" ht="17.25" thickBot="1" x14ac:dyDescent="0.3">
      <c r="A65" s="148" t="s">
        <v>67</v>
      </c>
      <c r="B65" s="104">
        <v>1090</v>
      </c>
      <c r="C65" s="149">
        <v>0</v>
      </c>
      <c r="D65" s="149">
        <v>0</v>
      </c>
      <c r="E65" s="149">
        <f t="shared" si="11"/>
        <v>0</v>
      </c>
      <c r="F65" s="149">
        <v>0</v>
      </c>
      <c r="G65" s="149">
        <f t="shared" ref="G65" si="15">C65</f>
        <v>0</v>
      </c>
      <c r="H65" s="149">
        <v>0</v>
      </c>
      <c r="I65" s="149">
        <f t="shared" si="13"/>
        <v>0</v>
      </c>
      <c r="J65" s="149">
        <v>0</v>
      </c>
    </row>
    <row r="66" spans="1:77" ht="17.25" thickBot="1" x14ac:dyDescent="0.3">
      <c r="A66" s="148" t="s">
        <v>68</v>
      </c>
      <c r="B66" s="104">
        <v>1100</v>
      </c>
      <c r="C66" s="149">
        <v>683</v>
      </c>
      <c r="D66" s="149">
        <v>763.9</v>
      </c>
      <c r="E66" s="149">
        <f t="shared" si="11"/>
        <v>80.899999999999977</v>
      </c>
      <c r="F66" s="149">
        <f t="shared" si="12"/>
        <v>111.84480234260614</v>
      </c>
      <c r="G66" s="149">
        <v>2780.9</v>
      </c>
      <c r="H66" s="149">
        <v>2345</v>
      </c>
      <c r="I66" s="149">
        <f t="shared" si="13"/>
        <v>-435.90000000000009</v>
      </c>
      <c r="J66" s="149">
        <f t="shared" ref="J66" si="16">H66/G66*100</f>
        <v>84.325218454457186</v>
      </c>
      <c r="Y66">
        <v>874.4</v>
      </c>
      <c r="AA66" s="31">
        <f>G66-Y66</f>
        <v>1906.5</v>
      </c>
    </row>
    <row r="67" spans="1:77" ht="17.25" thickBot="1" x14ac:dyDescent="0.3">
      <c r="A67" s="148" t="s">
        <v>69</v>
      </c>
      <c r="B67" s="104">
        <v>1110</v>
      </c>
      <c r="C67" s="149">
        <v>50</v>
      </c>
      <c r="D67" s="149">
        <v>0</v>
      </c>
      <c r="E67" s="149">
        <f t="shared" si="11"/>
        <v>-50</v>
      </c>
      <c r="F67" s="149">
        <v>0</v>
      </c>
      <c r="G67" s="149">
        <v>50</v>
      </c>
      <c r="H67" s="149">
        <v>0</v>
      </c>
      <c r="I67" s="149">
        <f t="shared" si="13"/>
        <v>-50</v>
      </c>
      <c r="J67" s="149">
        <v>0</v>
      </c>
    </row>
    <row r="68" spans="1:77" ht="17.25" thickBot="1" x14ac:dyDescent="0.3">
      <c r="A68" s="148" t="s">
        <v>70</v>
      </c>
      <c r="B68" s="104">
        <v>1120</v>
      </c>
      <c r="C68" s="149">
        <f>C69+C70+C71+C72+C73+C74</f>
        <v>726</v>
      </c>
      <c r="D68" s="149">
        <f>D69+D70+D71+D72+D73+D74</f>
        <v>436.99999999999994</v>
      </c>
      <c r="E68" s="149">
        <f t="shared" si="11"/>
        <v>-289.00000000000006</v>
      </c>
      <c r="F68" s="149">
        <f t="shared" si="12"/>
        <v>60.192837465564729</v>
      </c>
      <c r="G68" s="149">
        <f>SUM(G69:G73)</f>
        <v>5604.8</v>
      </c>
      <c r="H68" s="149">
        <f>SUM(H69:H73)</f>
        <v>5267.6</v>
      </c>
      <c r="I68" s="149">
        <f t="shared" si="13"/>
        <v>-337.19999999999982</v>
      </c>
      <c r="J68" s="149">
        <f t="shared" si="14"/>
        <v>93.983728232943193</v>
      </c>
      <c r="BY68" s="31">
        <f>D63+D64+D66+D68</f>
        <v>9901.7999999999993</v>
      </c>
    </row>
    <row r="69" spans="1:77" ht="17.25" thickBot="1" x14ac:dyDescent="0.3">
      <c r="A69" s="137" t="s">
        <v>71</v>
      </c>
      <c r="B69" s="104">
        <v>1121</v>
      </c>
      <c r="C69" s="149">
        <v>9</v>
      </c>
      <c r="D69" s="149">
        <v>-2.9</v>
      </c>
      <c r="E69" s="149">
        <f t="shared" si="11"/>
        <v>-11.9</v>
      </c>
      <c r="F69" s="149">
        <f t="shared" si="12"/>
        <v>-32.222222222222221</v>
      </c>
      <c r="G69" s="149">
        <v>3327.6</v>
      </c>
      <c r="H69" s="149">
        <v>3659.1</v>
      </c>
      <c r="I69" s="149">
        <f t="shared" si="13"/>
        <v>331.5</v>
      </c>
      <c r="J69" s="149">
        <f t="shared" si="14"/>
        <v>109.96213487197981</v>
      </c>
    </row>
    <row r="70" spans="1:77" ht="17.25" thickBot="1" x14ac:dyDescent="0.3">
      <c r="A70" s="137" t="s">
        <v>72</v>
      </c>
      <c r="B70" s="104">
        <v>1122</v>
      </c>
      <c r="C70" s="149">
        <v>108.4</v>
      </c>
      <c r="D70" s="149">
        <v>48.3</v>
      </c>
      <c r="E70" s="149">
        <f t="shared" si="11"/>
        <v>-60.100000000000009</v>
      </c>
      <c r="F70" s="149">
        <f t="shared" si="12"/>
        <v>44.557195571955717</v>
      </c>
      <c r="G70" s="149">
        <v>325.10000000000002</v>
      </c>
      <c r="H70" s="149">
        <v>198.9</v>
      </c>
      <c r="I70" s="149">
        <f t="shared" si="13"/>
        <v>-126.20000000000002</v>
      </c>
      <c r="J70" s="149">
        <f t="shared" si="14"/>
        <v>61.181175023069819</v>
      </c>
    </row>
    <row r="71" spans="1:77" ht="17.25" thickBot="1" x14ac:dyDescent="0.3">
      <c r="A71" s="137" t="s">
        <v>73</v>
      </c>
      <c r="B71" s="104">
        <v>1123</v>
      </c>
      <c r="C71" s="149">
        <v>588.6</v>
      </c>
      <c r="D71" s="149">
        <v>381.5</v>
      </c>
      <c r="E71" s="149">
        <f>D71-C71</f>
        <v>-207.10000000000002</v>
      </c>
      <c r="F71" s="149">
        <f>D71/C71*100</f>
        <v>64.81481481481481</v>
      </c>
      <c r="G71" s="149">
        <v>1766.3</v>
      </c>
      <c r="H71" s="149">
        <v>1255.2</v>
      </c>
      <c r="I71" s="149">
        <f>H71-G71</f>
        <v>-511.09999999999991</v>
      </c>
      <c r="J71" s="149">
        <f>H71/G71*100</f>
        <v>71.063805695521722</v>
      </c>
    </row>
    <row r="72" spans="1:77" ht="17.25" thickBot="1" x14ac:dyDescent="0.3">
      <c r="A72" s="137" t="s">
        <v>74</v>
      </c>
      <c r="B72" s="104">
        <v>1124</v>
      </c>
      <c r="C72" s="149">
        <v>3</v>
      </c>
      <c r="D72" s="149">
        <v>2.2000000000000002</v>
      </c>
      <c r="E72" s="149">
        <v>0</v>
      </c>
      <c r="F72" s="149">
        <f>D72/C72*100</f>
        <v>73.333333333333343</v>
      </c>
      <c r="G72" s="149">
        <v>134.80000000000001</v>
      </c>
      <c r="H72" s="149">
        <v>127.8</v>
      </c>
      <c r="I72" s="149">
        <f>H72-G72</f>
        <v>-7.0000000000000142</v>
      </c>
      <c r="J72" s="149">
        <f>H72/G72*100</f>
        <v>94.807121661721055</v>
      </c>
    </row>
    <row r="73" spans="1:77" ht="17.25" thickBot="1" x14ac:dyDescent="0.3">
      <c r="A73" s="137" t="s">
        <v>75</v>
      </c>
      <c r="B73" s="104">
        <v>1125</v>
      </c>
      <c r="C73" s="149">
        <v>17</v>
      </c>
      <c r="D73" s="149">
        <v>7.9</v>
      </c>
      <c r="E73" s="149">
        <f>D73-C73</f>
        <v>-9.1</v>
      </c>
      <c r="F73" s="149">
        <f>D73/C73*100</f>
        <v>46.470588235294116</v>
      </c>
      <c r="G73" s="149">
        <v>51</v>
      </c>
      <c r="H73" s="149">
        <v>26.6</v>
      </c>
      <c r="I73" s="149">
        <f>H73-G73</f>
        <v>-24.4</v>
      </c>
      <c r="J73" s="149">
        <f>H73/G73*100</f>
        <v>52.156862745098046</v>
      </c>
    </row>
    <row r="74" spans="1:77" ht="17.25" thickBot="1" x14ac:dyDescent="0.3">
      <c r="A74" s="137" t="s">
        <v>76</v>
      </c>
      <c r="B74" s="104">
        <v>1126</v>
      </c>
      <c r="C74" s="149">
        <v>0</v>
      </c>
      <c r="D74" s="149"/>
      <c r="E74" s="149">
        <v>0</v>
      </c>
      <c r="F74" s="149">
        <v>0</v>
      </c>
      <c r="G74" s="149">
        <f t="shared" ref="G74" si="17">C74</f>
        <v>0</v>
      </c>
      <c r="H74" s="149"/>
      <c r="I74" s="149">
        <v>0</v>
      </c>
      <c r="J74" s="149">
        <v>0</v>
      </c>
    </row>
    <row r="75" spans="1:77" ht="33.75" thickBot="1" x14ac:dyDescent="0.3">
      <c r="A75" s="148" t="s">
        <v>77</v>
      </c>
      <c r="B75" s="104">
        <v>1130</v>
      </c>
      <c r="C75" s="149">
        <v>25.5</v>
      </c>
      <c r="D75" s="149">
        <v>0</v>
      </c>
      <c r="E75" s="149">
        <f>D75-C75</f>
        <v>-25.5</v>
      </c>
      <c r="F75" s="149">
        <f>D75/C75*100</f>
        <v>0</v>
      </c>
      <c r="G75" s="149">
        <v>74.900000000000006</v>
      </c>
      <c r="H75" s="149">
        <v>49.9</v>
      </c>
      <c r="I75" s="149">
        <f>H75-G75</f>
        <v>-25.000000000000007</v>
      </c>
      <c r="J75" s="149">
        <f>H75/G75*100</f>
        <v>66.622162883845121</v>
      </c>
    </row>
    <row r="76" spans="1:77" ht="17.25" thickBot="1" x14ac:dyDescent="0.3">
      <c r="A76" s="148" t="s">
        <v>78</v>
      </c>
      <c r="B76" s="104">
        <v>1140</v>
      </c>
      <c r="C76" s="149">
        <v>306</v>
      </c>
      <c r="D76" s="149">
        <v>573.20000000000005</v>
      </c>
      <c r="E76" s="149">
        <f>D76-C76</f>
        <v>267.20000000000005</v>
      </c>
      <c r="F76" s="149">
        <f>D76/C76*100</f>
        <v>187.32026143790853</v>
      </c>
      <c r="G76" s="149">
        <v>795.8</v>
      </c>
      <c r="H76" s="149">
        <v>1603.6</v>
      </c>
      <c r="I76" s="149">
        <f>H76-G76</f>
        <v>807.8</v>
      </c>
      <c r="J76" s="149">
        <f>H76/G76*100</f>
        <v>201.50791656195022</v>
      </c>
    </row>
    <row r="77" spans="1:77" ht="17.25" thickBot="1" x14ac:dyDescent="0.3">
      <c r="A77" s="148" t="s">
        <v>79</v>
      </c>
      <c r="B77" s="104">
        <v>1150</v>
      </c>
      <c r="C77" s="149">
        <v>31.5</v>
      </c>
      <c r="D77" s="149">
        <v>58.8</v>
      </c>
      <c r="E77" s="149">
        <f>D77-C77</f>
        <v>27.299999999999997</v>
      </c>
      <c r="F77" s="149">
        <f t="shared" ref="F77" si="18">D77/C77*100</f>
        <v>186.66666666666666</v>
      </c>
      <c r="G77" s="149">
        <v>83.4</v>
      </c>
      <c r="H77" s="149">
        <v>102.2</v>
      </c>
      <c r="I77" s="149">
        <f>H77-G77</f>
        <v>18.799999999999997</v>
      </c>
      <c r="J77" s="149">
        <f>H77/G77*100</f>
        <v>122.54196642685851</v>
      </c>
    </row>
    <row r="78" spans="1:77" ht="17.25" thickBot="1" x14ac:dyDescent="0.3">
      <c r="A78" s="148" t="s">
        <v>80</v>
      </c>
      <c r="B78" s="104">
        <v>1160</v>
      </c>
      <c r="C78" s="149">
        <v>0</v>
      </c>
      <c r="D78" s="149">
        <v>515</v>
      </c>
      <c r="E78" s="149">
        <f>D78-C78</f>
        <v>515</v>
      </c>
      <c r="F78" s="149">
        <v>0</v>
      </c>
      <c r="G78" s="149">
        <v>9045</v>
      </c>
      <c r="H78" s="149">
        <v>515</v>
      </c>
      <c r="I78" s="149">
        <v>0</v>
      </c>
      <c r="J78" s="149">
        <f>H78/G78*100</f>
        <v>5.6937534549474842</v>
      </c>
    </row>
    <row r="79" spans="1:77" ht="17.25" thickBot="1" x14ac:dyDescent="0.3">
      <c r="A79" s="148" t="s">
        <v>81</v>
      </c>
      <c r="B79" s="104">
        <v>1170</v>
      </c>
      <c r="C79" s="149" t="s">
        <v>152</v>
      </c>
      <c r="D79" s="149"/>
      <c r="E79" s="149"/>
      <c r="F79" s="149"/>
      <c r="G79" s="149"/>
      <c r="H79" s="149"/>
      <c r="I79" s="149"/>
      <c r="J79" s="149"/>
    </row>
    <row r="80" spans="1:77" ht="17.25" thickBot="1" x14ac:dyDescent="0.3">
      <c r="A80" s="148" t="s">
        <v>82</v>
      </c>
      <c r="B80" s="104">
        <v>1180</v>
      </c>
      <c r="C80" s="149">
        <f>C81+C82+C83</f>
        <v>0</v>
      </c>
      <c r="D80" s="149">
        <f t="shared" ref="D80:E80" si="19">D81+D82+D83</f>
        <v>6939.8</v>
      </c>
      <c r="E80" s="149">
        <f t="shared" si="19"/>
        <v>6939.8</v>
      </c>
      <c r="F80" s="149">
        <v>0</v>
      </c>
      <c r="G80" s="149">
        <f>G81+G82+G83</f>
        <v>13640</v>
      </c>
      <c r="H80" s="149">
        <f t="shared" ref="H80" si="20">H81+H82+H83</f>
        <v>9749.1</v>
      </c>
      <c r="I80" s="149">
        <f t="shared" ref="I80" si="21">I81+I82+I83</f>
        <v>-3890.8999999999996</v>
      </c>
      <c r="J80" s="149">
        <f t="shared" ref="J80:J85" si="22">H80/G80*100</f>
        <v>71.474340175953074</v>
      </c>
    </row>
    <row r="81" spans="1:10" ht="17.25" thickBot="1" x14ac:dyDescent="0.3">
      <c r="A81" s="137" t="s">
        <v>83</v>
      </c>
      <c r="B81" s="104">
        <v>1181</v>
      </c>
      <c r="C81" s="149">
        <v>0</v>
      </c>
      <c r="D81" s="149">
        <v>3082.7</v>
      </c>
      <c r="E81" s="149">
        <f t="shared" ref="E81:E84" si="23">D81-C81</f>
        <v>3082.7</v>
      </c>
      <c r="F81" s="149">
        <v>0</v>
      </c>
      <c r="G81" s="149">
        <v>8500</v>
      </c>
      <c r="H81" s="149">
        <v>4857.1000000000004</v>
      </c>
      <c r="I81" s="149">
        <f t="shared" ref="I81:I83" si="24">H81-G81</f>
        <v>-3642.8999999999996</v>
      </c>
      <c r="J81" s="149">
        <f t="shared" si="22"/>
        <v>57.142352941176476</v>
      </c>
    </row>
    <row r="82" spans="1:10" ht="17.25" thickBot="1" x14ac:dyDescent="0.3">
      <c r="A82" s="137" t="s">
        <v>155</v>
      </c>
      <c r="B82" s="104">
        <v>1182</v>
      </c>
      <c r="C82" s="149">
        <v>0</v>
      </c>
      <c r="D82" s="149">
        <v>3850</v>
      </c>
      <c r="E82" s="149">
        <f t="shared" si="23"/>
        <v>3850</v>
      </c>
      <c r="F82" s="149">
        <v>0</v>
      </c>
      <c r="G82" s="149">
        <v>3850</v>
      </c>
      <c r="H82" s="149">
        <v>3850</v>
      </c>
      <c r="I82" s="149">
        <f t="shared" si="24"/>
        <v>0</v>
      </c>
      <c r="J82" s="149">
        <f t="shared" si="22"/>
        <v>100</v>
      </c>
    </row>
    <row r="83" spans="1:10" ht="17.25" thickBot="1" x14ac:dyDescent="0.3">
      <c r="A83" s="137" t="s">
        <v>159</v>
      </c>
      <c r="B83" s="104">
        <v>1183</v>
      </c>
      <c r="C83" s="149">
        <v>0</v>
      </c>
      <c r="D83" s="149">
        <v>7.1</v>
      </c>
      <c r="E83" s="149">
        <f t="shared" si="23"/>
        <v>7.1</v>
      </c>
      <c r="F83" s="149">
        <v>0</v>
      </c>
      <c r="G83" s="149">
        <v>1290</v>
      </c>
      <c r="H83" s="149">
        <v>1042</v>
      </c>
      <c r="I83" s="149">
        <f t="shared" si="24"/>
        <v>-248</v>
      </c>
      <c r="J83" s="149">
        <f t="shared" si="22"/>
        <v>80.775193798449607</v>
      </c>
    </row>
    <row r="84" spans="1:10" ht="17.25" thickBot="1" x14ac:dyDescent="0.3">
      <c r="A84" s="148" t="s">
        <v>84</v>
      </c>
      <c r="B84" s="104">
        <v>1190</v>
      </c>
      <c r="C84" s="149">
        <f>C85+C92</f>
        <v>5636.4</v>
      </c>
      <c r="D84" s="149">
        <f>D85+D92</f>
        <v>3002.7</v>
      </c>
      <c r="E84" s="149">
        <f t="shared" si="23"/>
        <v>-2633.7</v>
      </c>
      <c r="F84" s="149">
        <f t="shared" ref="F84:F85" si="25">D84/C84*100</f>
        <v>53.273365978284012</v>
      </c>
      <c r="G84" s="149">
        <f>G85+G92</f>
        <v>14420.4</v>
      </c>
      <c r="H84" s="149">
        <f>H85+H92</f>
        <v>11003.9</v>
      </c>
      <c r="I84" s="149">
        <f>H84-G84</f>
        <v>-3416.5</v>
      </c>
      <c r="J84" s="149">
        <f t="shared" si="22"/>
        <v>76.307869407228651</v>
      </c>
    </row>
    <row r="85" spans="1:10" ht="17.25" thickBot="1" x14ac:dyDescent="0.3">
      <c r="A85" s="137" t="s">
        <v>85</v>
      </c>
      <c r="B85" s="104">
        <v>1191</v>
      </c>
      <c r="C85" s="149">
        <v>4620</v>
      </c>
      <c r="D85" s="149">
        <v>2439.5</v>
      </c>
      <c r="E85" s="149">
        <f>D85-C85</f>
        <v>-2180.5</v>
      </c>
      <c r="F85" s="149">
        <f t="shared" si="25"/>
        <v>52.803030303030305</v>
      </c>
      <c r="G85" s="149">
        <v>11820</v>
      </c>
      <c r="H85" s="149">
        <v>9038.4</v>
      </c>
      <c r="I85" s="149">
        <f>H85-G85</f>
        <v>-2781.6000000000004</v>
      </c>
      <c r="J85" s="149">
        <f t="shared" si="22"/>
        <v>76.467005076142129</v>
      </c>
    </row>
    <row r="86" spans="1:10" ht="17.25" thickBot="1" x14ac:dyDescent="0.3">
      <c r="A86" s="137"/>
      <c r="B86" s="104"/>
      <c r="C86" s="149"/>
      <c r="D86" s="149"/>
      <c r="E86" s="149"/>
      <c r="F86" s="149"/>
      <c r="G86" s="149"/>
      <c r="H86" s="149"/>
      <c r="I86" s="149"/>
      <c r="J86" s="149"/>
    </row>
    <row r="87" spans="1:10" ht="17.25" thickBot="1" x14ac:dyDescent="0.3">
      <c r="A87" s="150"/>
      <c r="B87" s="110"/>
      <c r="C87" s="151">
        <v>3</v>
      </c>
      <c r="D87" s="152"/>
      <c r="E87" s="152"/>
      <c r="F87" s="152"/>
      <c r="G87" s="152"/>
      <c r="H87" s="152"/>
      <c r="I87" s="152"/>
      <c r="J87" s="153" t="s">
        <v>54</v>
      </c>
    </row>
    <row r="88" spans="1:10" ht="31.9" customHeight="1" thickBot="1" x14ac:dyDescent="0.3">
      <c r="A88" s="114"/>
      <c r="B88" s="115"/>
      <c r="C88" s="181" t="s">
        <v>175</v>
      </c>
      <c r="D88" s="182"/>
      <c r="E88" s="182"/>
      <c r="F88" s="183"/>
      <c r="G88" s="181" t="s">
        <v>158</v>
      </c>
      <c r="H88" s="182"/>
      <c r="I88" s="182"/>
      <c r="J88" s="183"/>
    </row>
    <row r="89" spans="1:10" ht="33" x14ac:dyDescent="0.25">
      <c r="A89" s="116" t="s">
        <v>43</v>
      </c>
      <c r="B89" s="117" t="s">
        <v>44</v>
      </c>
      <c r="C89" s="118"/>
      <c r="D89" s="118"/>
      <c r="E89" s="118"/>
      <c r="F89" s="118"/>
      <c r="G89" s="118"/>
      <c r="H89" s="118"/>
      <c r="I89" s="118"/>
      <c r="J89" s="118"/>
    </row>
    <row r="90" spans="1:10" ht="33.75" thickBot="1" x14ac:dyDescent="0.3">
      <c r="A90" s="119"/>
      <c r="B90" s="120"/>
      <c r="C90" s="104" t="s">
        <v>45</v>
      </c>
      <c r="D90" s="104" t="s">
        <v>46</v>
      </c>
      <c r="E90" s="104" t="s">
        <v>47</v>
      </c>
      <c r="F90" s="104" t="s">
        <v>48</v>
      </c>
      <c r="G90" s="104" t="s">
        <v>45</v>
      </c>
      <c r="H90" s="104" t="s">
        <v>46</v>
      </c>
      <c r="I90" s="104" t="s">
        <v>47</v>
      </c>
      <c r="J90" s="104" t="s">
        <v>48</v>
      </c>
    </row>
    <row r="91" spans="1:10" ht="17.25" thickBot="1" x14ac:dyDescent="0.3">
      <c r="A91" s="121">
        <v>1</v>
      </c>
      <c r="B91" s="104">
        <v>2</v>
      </c>
      <c r="C91" s="104">
        <v>3</v>
      </c>
      <c r="D91" s="104">
        <v>4</v>
      </c>
      <c r="E91" s="104">
        <v>5</v>
      </c>
      <c r="F91" s="104">
        <v>6</v>
      </c>
      <c r="G91" s="104">
        <v>7</v>
      </c>
      <c r="H91" s="104">
        <v>8</v>
      </c>
      <c r="I91" s="104">
        <v>9</v>
      </c>
      <c r="J91" s="104">
        <v>10</v>
      </c>
    </row>
    <row r="92" spans="1:10" ht="17.25" thickBot="1" x14ac:dyDescent="0.3">
      <c r="A92" s="137" t="s">
        <v>64</v>
      </c>
      <c r="B92" s="104">
        <v>1192</v>
      </c>
      <c r="C92" s="149">
        <v>1016.4</v>
      </c>
      <c r="D92" s="149">
        <v>563.20000000000005</v>
      </c>
      <c r="E92" s="149">
        <f>E85*22/100</f>
        <v>-479.71</v>
      </c>
      <c r="F92" s="149">
        <f>D92/C92*100</f>
        <v>55.411255411255425</v>
      </c>
      <c r="G92" s="149">
        <v>2600.4</v>
      </c>
      <c r="H92" s="149">
        <v>1965.5</v>
      </c>
      <c r="I92" s="149">
        <f>H92-G92</f>
        <v>-634.90000000000009</v>
      </c>
      <c r="J92" s="149">
        <f t="shared" ref="J92" si="26">H92/G92*100</f>
        <v>75.584525457621893</v>
      </c>
    </row>
    <row r="93" spans="1:10" ht="17.25" thickBot="1" x14ac:dyDescent="0.3">
      <c r="A93" s="137" t="s">
        <v>86</v>
      </c>
      <c r="B93" s="104">
        <v>1193</v>
      </c>
      <c r="C93" s="149"/>
      <c r="D93" s="149"/>
      <c r="E93" s="149">
        <v>0</v>
      </c>
      <c r="F93" s="149"/>
      <c r="G93" s="149"/>
      <c r="H93" s="149"/>
      <c r="I93" s="149">
        <v>0</v>
      </c>
      <c r="J93" s="149">
        <v>0</v>
      </c>
    </row>
    <row r="94" spans="1:10" ht="17.25" thickBot="1" x14ac:dyDescent="0.3">
      <c r="A94" s="137" t="s">
        <v>87</v>
      </c>
      <c r="B94" s="104">
        <v>1194</v>
      </c>
      <c r="C94" s="149"/>
      <c r="D94" s="149"/>
      <c r="E94" s="149">
        <v>0</v>
      </c>
      <c r="F94" s="149"/>
      <c r="G94" s="149"/>
      <c r="H94" s="149"/>
      <c r="I94" s="149">
        <v>0</v>
      </c>
      <c r="J94" s="149">
        <v>0</v>
      </c>
    </row>
    <row r="95" spans="1:10" ht="17.25" thickBot="1" x14ac:dyDescent="0.3">
      <c r="A95" s="137" t="s">
        <v>88</v>
      </c>
      <c r="B95" s="104">
        <v>1195</v>
      </c>
      <c r="C95" s="149"/>
      <c r="D95" s="149"/>
      <c r="E95" s="149">
        <v>0</v>
      </c>
      <c r="F95" s="149"/>
      <c r="G95" s="149"/>
      <c r="H95" s="149"/>
      <c r="I95" s="149">
        <v>0</v>
      </c>
      <c r="J95" s="149">
        <v>0</v>
      </c>
    </row>
    <row r="96" spans="1:10" ht="17.25" thickBot="1" x14ac:dyDescent="0.3">
      <c r="A96" s="137" t="s">
        <v>81</v>
      </c>
      <c r="B96" s="104">
        <v>1196</v>
      </c>
      <c r="C96" s="149"/>
      <c r="D96" s="149"/>
      <c r="E96" s="149">
        <v>0</v>
      </c>
      <c r="F96" s="149"/>
      <c r="G96" s="149"/>
      <c r="H96" s="149"/>
      <c r="I96" s="149">
        <v>0</v>
      </c>
      <c r="J96" s="149">
        <v>0</v>
      </c>
    </row>
    <row r="97" spans="1:77" ht="17.25" thickBot="1" x14ac:dyDescent="0.3">
      <c r="A97" s="137" t="s">
        <v>89</v>
      </c>
      <c r="B97" s="104">
        <v>1197</v>
      </c>
      <c r="C97" s="149"/>
      <c r="D97" s="149"/>
      <c r="E97" s="149">
        <v>0</v>
      </c>
      <c r="F97" s="149"/>
      <c r="G97" s="149"/>
      <c r="H97" s="149"/>
      <c r="I97" s="149">
        <v>0</v>
      </c>
      <c r="J97" s="149">
        <v>0</v>
      </c>
    </row>
    <row r="98" spans="1:77" ht="17.25" thickBot="1" x14ac:dyDescent="0.3">
      <c r="A98" s="137" t="s">
        <v>90</v>
      </c>
      <c r="B98" s="104">
        <v>1198</v>
      </c>
      <c r="C98" s="149"/>
      <c r="D98" s="149"/>
      <c r="E98" s="149">
        <v>0</v>
      </c>
      <c r="F98" s="149"/>
      <c r="G98" s="149"/>
      <c r="H98" s="149"/>
      <c r="I98" s="149">
        <v>0</v>
      </c>
      <c r="J98" s="149">
        <v>0</v>
      </c>
    </row>
    <row r="99" spans="1:77" ht="17.25" thickBot="1" x14ac:dyDescent="0.3">
      <c r="A99" s="148" t="s">
        <v>91</v>
      </c>
      <c r="B99" s="104">
        <v>1200</v>
      </c>
      <c r="C99" s="149"/>
      <c r="D99" s="149"/>
      <c r="E99" s="149">
        <v>0</v>
      </c>
      <c r="F99" s="149"/>
      <c r="G99" s="149"/>
      <c r="H99" s="149"/>
      <c r="I99" s="149">
        <v>0</v>
      </c>
      <c r="J99" s="149">
        <v>0</v>
      </c>
      <c r="AN99" s="78"/>
    </row>
    <row r="100" spans="1:77" ht="17.25" thickBot="1" x14ac:dyDescent="0.3">
      <c r="A100" s="154" t="s">
        <v>92</v>
      </c>
      <c r="B100" s="104">
        <v>1210</v>
      </c>
      <c r="C100" s="155">
        <f>C40+C49+C54</f>
        <v>50463.7</v>
      </c>
      <c r="D100" s="155">
        <f t="shared" ref="D100:G100" si="27">D40+D49+D54</f>
        <v>35524.5</v>
      </c>
      <c r="E100" s="155">
        <f>D100-C100</f>
        <v>-14939.199999999997</v>
      </c>
      <c r="F100" s="155">
        <f>D100/C100*100</f>
        <v>70.396146140691229</v>
      </c>
      <c r="G100" s="155">
        <f t="shared" si="27"/>
        <v>170566.3</v>
      </c>
      <c r="H100" s="155">
        <f>H40+H49+H54</f>
        <v>102673</v>
      </c>
      <c r="I100" s="155">
        <f>H100-G100</f>
        <v>-67893.299999999988</v>
      </c>
      <c r="J100" s="156">
        <f>H100/G100*100</f>
        <v>60.195360982796721</v>
      </c>
      <c r="Y100" t="s">
        <v>93</v>
      </c>
      <c r="AB100" s="31"/>
      <c r="AN100" s="78"/>
    </row>
    <row r="101" spans="1:77" ht="17.25" thickBot="1" x14ac:dyDescent="0.3">
      <c r="A101" s="154" t="s">
        <v>94</v>
      </c>
      <c r="B101" s="104">
        <v>1220</v>
      </c>
      <c r="C101" s="155">
        <f>C61+C62+C63+C64+C65+C66+C67+C68+C75+C76+C77+C117+C78+C80</f>
        <v>49784.399999999994</v>
      </c>
      <c r="D101" s="155">
        <f t="shared" ref="D101:H101" si="28">D61+D62+D63+D64+D65+D66+D67+D68+D75+D76+D77+D117+D78+D80</f>
        <v>50889.900000000009</v>
      </c>
      <c r="E101" s="155">
        <f t="shared" si="28"/>
        <v>1105.5000000000045</v>
      </c>
      <c r="F101" s="156">
        <f>D101/C101*100</f>
        <v>102.22057511991711</v>
      </c>
      <c r="G101" s="155">
        <f t="shared" si="28"/>
        <v>168300.39999999997</v>
      </c>
      <c r="H101" s="155">
        <f t="shared" si="28"/>
        <v>137929.5</v>
      </c>
      <c r="I101" s="156">
        <f>H101-G101</f>
        <v>-30370.899999999965</v>
      </c>
      <c r="J101" s="156">
        <f>H101/G101*100</f>
        <v>81.954350672963358</v>
      </c>
      <c r="AA101" s="31"/>
      <c r="AN101" s="78"/>
      <c r="AO101" s="31"/>
    </row>
    <row r="102" spans="1:77" ht="17.25" thickBot="1" x14ac:dyDescent="0.3">
      <c r="A102" s="154" t="s">
        <v>95</v>
      </c>
      <c r="B102" s="104">
        <v>1230</v>
      </c>
      <c r="C102" s="105"/>
      <c r="D102" s="105"/>
      <c r="E102" s="149">
        <v>0</v>
      </c>
      <c r="F102" s="149"/>
      <c r="G102" s="105"/>
      <c r="H102" s="105"/>
      <c r="I102" s="149">
        <v>0</v>
      </c>
      <c r="J102" s="149">
        <v>0</v>
      </c>
      <c r="AA102" s="31"/>
    </row>
    <row r="103" spans="1:77" ht="17.25" thickBot="1" x14ac:dyDescent="0.3">
      <c r="A103" s="154" t="s">
        <v>96</v>
      </c>
      <c r="B103" s="104">
        <v>1240</v>
      </c>
      <c r="C103" s="105">
        <f>C100-C101</f>
        <v>679.30000000000291</v>
      </c>
      <c r="D103" s="105">
        <f>D100-D101</f>
        <v>-15365.400000000009</v>
      </c>
      <c r="E103" s="149">
        <f>D103-C103</f>
        <v>-16044.700000000012</v>
      </c>
      <c r="F103" s="149">
        <f>D103/C103*100</f>
        <v>-2261.9461210069103</v>
      </c>
      <c r="G103" s="105">
        <f>G100-G101</f>
        <v>2265.9000000000233</v>
      </c>
      <c r="H103" s="105">
        <f>H100-H101</f>
        <v>-35256.5</v>
      </c>
      <c r="I103" s="149">
        <f>H103-G103</f>
        <v>-37522.400000000023</v>
      </c>
      <c r="J103" s="149">
        <f>H103/G103*100</f>
        <v>-1555.9601041528592</v>
      </c>
    </row>
    <row r="104" spans="1:77" ht="17.25" thickBot="1" x14ac:dyDescent="0.3">
      <c r="A104" s="205" t="s">
        <v>97</v>
      </c>
      <c r="B104" s="206"/>
      <c r="C104" s="206"/>
      <c r="D104" s="206"/>
      <c r="E104" s="206"/>
      <c r="F104" s="206"/>
      <c r="G104" s="206"/>
      <c r="H104" s="206"/>
      <c r="I104" s="206"/>
      <c r="J104" s="207"/>
      <c r="AA104" s="31"/>
    </row>
    <row r="105" spans="1:77" ht="33.75" thickBot="1" x14ac:dyDescent="0.3">
      <c r="A105" s="148" t="s">
        <v>98</v>
      </c>
      <c r="B105" s="104">
        <v>2010</v>
      </c>
      <c r="C105" s="105">
        <v>6617.3</v>
      </c>
      <c r="D105" s="105">
        <v>5399.6</v>
      </c>
      <c r="E105" s="105">
        <f>D105-C105</f>
        <v>-1217.6999999999998</v>
      </c>
      <c r="F105" s="105">
        <f>D105/C105*100</f>
        <v>81.598234929654083</v>
      </c>
      <c r="G105" s="105">
        <v>17264.099999999999</v>
      </c>
      <c r="H105" s="105">
        <v>15211.9</v>
      </c>
      <c r="I105" s="105">
        <f>H105-G105</f>
        <v>-2052.1999999999989</v>
      </c>
      <c r="J105" s="105">
        <f>H105/G105*100</f>
        <v>88.112904814036057</v>
      </c>
      <c r="BY105" s="31"/>
    </row>
    <row r="106" spans="1:77" ht="33.75" thickBot="1" x14ac:dyDescent="0.3">
      <c r="A106" s="148" t="s">
        <v>99</v>
      </c>
      <c r="B106" s="104">
        <v>2020</v>
      </c>
      <c r="C106" s="105">
        <v>0</v>
      </c>
      <c r="D106" s="105">
        <v>0</v>
      </c>
      <c r="E106" s="105">
        <f>D106-C106</f>
        <v>0</v>
      </c>
      <c r="F106" s="105">
        <v>0</v>
      </c>
      <c r="G106" s="105">
        <v>1.8</v>
      </c>
      <c r="H106" s="105">
        <v>0</v>
      </c>
      <c r="I106" s="105">
        <f>H106-G106</f>
        <v>-1.8</v>
      </c>
      <c r="J106" s="105">
        <f>H106/G106*100</f>
        <v>0</v>
      </c>
    </row>
    <row r="107" spans="1:77" ht="17.25" thickBot="1" x14ac:dyDescent="0.3">
      <c r="A107" s="148" t="s">
        <v>100</v>
      </c>
      <c r="B107" s="104">
        <v>2030</v>
      </c>
      <c r="C107" s="157"/>
      <c r="D107" s="157"/>
      <c r="E107" s="157"/>
      <c r="F107" s="157"/>
      <c r="G107" s="157"/>
      <c r="H107" s="157"/>
      <c r="I107" s="157"/>
      <c r="J107" s="157"/>
    </row>
    <row r="108" spans="1:77" ht="17.25" thickBot="1" x14ac:dyDescent="0.3">
      <c r="A108" s="148" t="s">
        <v>101</v>
      </c>
      <c r="B108" s="104">
        <v>2040</v>
      </c>
      <c r="C108" s="157"/>
      <c r="D108" s="157"/>
      <c r="E108" s="157"/>
      <c r="F108" s="157"/>
      <c r="G108" s="157"/>
      <c r="H108" s="157"/>
      <c r="I108" s="157"/>
      <c r="J108" s="157"/>
    </row>
    <row r="109" spans="1:77" ht="17.25" thickBot="1" x14ac:dyDescent="0.3">
      <c r="A109" s="205" t="s">
        <v>102</v>
      </c>
      <c r="B109" s="206"/>
      <c r="C109" s="206"/>
      <c r="D109" s="206"/>
      <c r="E109" s="206"/>
      <c r="F109" s="206"/>
      <c r="G109" s="206"/>
      <c r="H109" s="206"/>
      <c r="I109" s="206"/>
      <c r="J109" s="207"/>
    </row>
    <row r="110" spans="1:77" ht="17.25" thickBot="1" x14ac:dyDescent="0.3">
      <c r="A110" s="148" t="s">
        <v>103</v>
      </c>
      <c r="B110" s="104">
        <v>3010</v>
      </c>
      <c r="C110" s="149">
        <v>0</v>
      </c>
      <c r="D110" s="149">
        <v>0</v>
      </c>
      <c r="E110" s="149">
        <v>0</v>
      </c>
      <c r="F110" s="149">
        <v>0</v>
      </c>
      <c r="G110" s="149">
        <v>0</v>
      </c>
      <c r="H110" s="149">
        <v>0</v>
      </c>
      <c r="I110" s="149">
        <v>0</v>
      </c>
      <c r="J110" s="149">
        <v>0</v>
      </c>
    </row>
    <row r="111" spans="1:77" ht="33.75" thickBot="1" x14ac:dyDescent="0.3">
      <c r="A111" s="137" t="s">
        <v>104</v>
      </c>
      <c r="B111" s="158">
        <v>3011</v>
      </c>
      <c r="C111" s="149">
        <v>0</v>
      </c>
      <c r="D111" s="149">
        <v>0</v>
      </c>
      <c r="E111" s="149">
        <v>0</v>
      </c>
      <c r="F111" s="149">
        <v>0</v>
      </c>
      <c r="G111" s="149">
        <v>0</v>
      </c>
      <c r="H111" s="149">
        <v>0</v>
      </c>
      <c r="I111" s="149">
        <v>0</v>
      </c>
      <c r="J111" s="149">
        <v>0</v>
      </c>
    </row>
    <row r="112" spans="1:77" ht="17.25" thickBot="1" x14ac:dyDescent="0.3">
      <c r="A112" s="159"/>
      <c r="B112" s="160"/>
      <c r="C112" s="151">
        <v>4</v>
      </c>
      <c r="D112" s="152"/>
      <c r="E112" s="152"/>
      <c r="F112" s="152"/>
      <c r="G112" s="152"/>
      <c r="H112" s="152"/>
      <c r="I112" s="152"/>
      <c r="J112" s="161" t="s">
        <v>54</v>
      </c>
    </row>
    <row r="113" spans="1:25" ht="17.25" thickBot="1" x14ac:dyDescent="0.3">
      <c r="A113" s="114"/>
      <c r="B113" s="115"/>
      <c r="C113" s="181" t="s">
        <v>175</v>
      </c>
      <c r="D113" s="182"/>
      <c r="E113" s="182"/>
      <c r="F113" s="183"/>
      <c r="G113" s="181" t="s">
        <v>158</v>
      </c>
      <c r="H113" s="182"/>
      <c r="I113" s="182"/>
      <c r="J113" s="183"/>
    </row>
    <row r="114" spans="1:25" ht="33" x14ac:dyDescent="0.25">
      <c r="A114" s="116" t="s">
        <v>43</v>
      </c>
      <c r="B114" s="117" t="s">
        <v>44</v>
      </c>
      <c r="C114" s="118"/>
      <c r="D114" s="118"/>
      <c r="E114" s="118"/>
      <c r="F114" s="118"/>
      <c r="G114" s="118"/>
      <c r="H114" s="118"/>
      <c r="I114" s="118"/>
      <c r="J114" s="118"/>
    </row>
    <row r="115" spans="1:25" ht="33.75" thickBot="1" x14ac:dyDescent="0.3">
      <c r="A115" s="119"/>
      <c r="B115" s="120"/>
      <c r="C115" s="104" t="s">
        <v>45</v>
      </c>
      <c r="D115" s="104" t="s">
        <v>46</v>
      </c>
      <c r="E115" s="104" t="s">
        <v>47</v>
      </c>
      <c r="F115" s="104" t="s">
        <v>48</v>
      </c>
      <c r="G115" s="104" t="s">
        <v>45</v>
      </c>
      <c r="H115" s="104" t="s">
        <v>46</v>
      </c>
      <c r="I115" s="104" t="s">
        <v>47</v>
      </c>
      <c r="J115" s="104" t="s">
        <v>48</v>
      </c>
    </row>
    <row r="116" spans="1:25" ht="17.25" thickBot="1" x14ac:dyDescent="0.3">
      <c r="A116" s="121">
        <v>1</v>
      </c>
      <c r="B116" s="104">
        <v>2</v>
      </c>
      <c r="C116" s="104">
        <v>3</v>
      </c>
      <c r="D116" s="104">
        <v>4</v>
      </c>
      <c r="E116" s="104">
        <v>5</v>
      </c>
      <c r="F116" s="104">
        <v>6</v>
      </c>
      <c r="G116" s="104">
        <v>7</v>
      </c>
      <c r="H116" s="104">
        <v>8</v>
      </c>
      <c r="I116" s="104">
        <v>9</v>
      </c>
      <c r="J116" s="104">
        <v>10</v>
      </c>
    </row>
    <row r="117" spans="1:25" ht="17.25" thickBot="1" x14ac:dyDescent="0.3">
      <c r="A117" s="154" t="s">
        <v>105</v>
      </c>
      <c r="B117" s="104">
        <v>3020</v>
      </c>
      <c r="C117" s="149">
        <f>SUM(C118:C123)</f>
        <v>0</v>
      </c>
      <c r="D117" s="149">
        <f>SUM(D118:D123)</f>
        <v>0</v>
      </c>
      <c r="E117" s="149">
        <f>D117-C117</f>
        <v>0</v>
      </c>
      <c r="F117" s="149">
        <v>0</v>
      </c>
      <c r="G117" s="149">
        <f>SUM(G118:G123)</f>
        <v>0</v>
      </c>
      <c r="H117" s="149">
        <f>SUM(H118:H123)</f>
        <v>0</v>
      </c>
      <c r="I117" s="149">
        <f>H117-G117</f>
        <v>0</v>
      </c>
      <c r="J117" s="149">
        <v>0</v>
      </c>
    </row>
    <row r="118" spans="1:25" ht="17.25" thickBot="1" x14ac:dyDescent="0.3">
      <c r="A118" s="137" t="s">
        <v>106</v>
      </c>
      <c r="B118" s="104">
        <v>3021</v>
      </c>
      <c r="C118" s="149">
        <v>0</v>
      </c>
      <c r="D118" s="149">
        <v>0</v>
      </c>
      <c r="E118" s="149">
        <v>0</v>
      </c>
      <c r="F118" s="149">
        <v>0</v>
      </c>
      <c r="G118" s="149">
        <v>0</v>
      </c>
      <c r="H118" s="149">
        <v>0</v>
      </c>
      <c r="I118" s="149">
        <v>0</v>
      </c>
      <c r="J118" s="149">
        <v>0</v>
      </c>
    </row>
    <row r="119" spans="1:25" ht="17.25" thickBot="1" x14ac:dyDescent="0.3">
      <c r="A119" s="137" t="s">
        <v>107</v>
      </c>
      <c r="B119" s="104">
        <v>3022</v>
      </c>
      <c r="C119" s="149">
        <v>0</v>
      </c>
      <c r="D119" s="149">
        <v>0</v>
      </c>
      <c r="E119" s="149">
        <f t="shared" ref="E119:E123" si="29">D119-C119</f>
        <v>0</v>
      </c>
      <c r="F119" s="149">
        <v>0</v>
      </c>
      <c r="G119" s="149">
        <f>C119</f>
        <v>0</v>
      </c>
      <c r="H119" s="149">
        <f>D119</f>
        <v>0</v>
      </c>
      <c r="I119" s="149">
        <f t="shared" ref="I119:I123" si="30">H119-G119</f>
        <v>0</v>
      </c>
      <c r="J119" s="149">
        <v>0</v>
      </c>
    </row>
    <row r="120" spans="1:25" ht="33.75" thickBot="1" x14ac:dyDescent="0.3">
      <c r="A120" s="137" t="s">
        <v>108</v>
      </c>
      <c r="B120" s="104">
        <v>3023</v>
      </c>
      <c r="C120" s="149">
        <v>0</v>
      </c>
      <c r="D120" s="149">
        <v>0</v>
      </c>
      <c r="E120" s="149">
        <f>D120-C120</f>
        <v>0</v>
      </c>
      <c r="F120" s="149">
        <v>0</v>
      </c>
      <c r="G120" s="149">
        <v>0</v>
      </c>
      <c r="H120" s="149">
        <v>0</v>
      </c>
      <c r="I120" s="149">
        <f>H120-G120</f>
        <v>0</v>
      </c>
      <c r="J120" s="149">
        <v>0</v>
      </c>
    </row>
    <row r="121" spans="1:25" ht="17.25" thickBot="1" x14ac:dyDescent="0.3">
      <c r="A121" s="137" t="s">
        <v>109</v>
      </c>
      <c r="B121" s="104">
        <v>3024</v>
      </c>
      <c r="C121" s="149">
        <v>0</v>
      </c>
      <c r="D121" s="149">
        <v>0</v>
      </c>
      <c r="E121" s="149">
        <f t="shared" si="29"/>
        <v>0</v>
      </c>
      <c r="F121" s="149">
        <v>0</v>
      </c>
      <c r="G121" s="149">
        <v>0</v>
      </c>
      <c r="H121" s="149">
        <v>0</v>
      </c>
      <c r="I121" s="149">
        <f t="shared" si="30"/>
        <v>0</v>
      </c>
      <c r="J121" s="149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37">
        <v>0</v>
      </c>
      <c r="S121" s="37">
        <v>0</v>
      </c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</row>
    <row r="122" spans="1:25" ht="33.75" thickBot="1" x14ac:dyDescent="0.3">
      <c r="A122" s="137" t="s">
        <v>110</v>
      </c>
      <c r="B122" s="104">
        <v>3025</v>
      </c>
      <c r="C122" s="149">
        <v>0</v>
      </c>
      <c r="D122" s="149">
        <v>0</v>
      </c>
      <c r="E122" s="149">
        <f t="shared" si="29"/>
        <v>0</v>
      </c>
      <c r="F122" s="149">
        <v>0</v>
      </c>
      <c r="G122" s="149">
        <v>0</v>
      </c>
      <c r="H122" s="149">
        <v>0</v>
      </c>
      <c r="I122" s="149">
        <f t="shared" si="30"/>
        <v>0</v>
      </c>
      <c r="J122" s="149">
        <v>0</v>
      </c>
    </row>
    <row r="123" spans="1:25" ht="17.25" thickBot="1" x14ac:dyDescent="0.3">
      <c r="A123" s="137" t="s">
        <v>111</v>
      </c>
      <c r="B123" s="104">
        <v>3026</v>
      </c>
      <c r="C123" s="149">
        <v>0</v>
      </c>
      <c r="D123" s="149">
        <v>0</v>
      </c>
      <c r="E123" s="149">
        <f t="shared" si="29"/>
        <v>0</v>
      </c>
      <c r="F123" s="149">
        <v>0</v>
      </c>
      <c r="G123" s="149">
        <v>0</v>
      </c>
      <c r="H123" s="149">
        <v>0</v>
      </c>
      <c r="I123" s="149">
        <f t="shared" si="30"/>
        <v>0</v>
      </c>
      <c r="J123" s="149">
        <v>0</v>
      </c>
    </row>
    <row r="124" spans="1:25" ht="17.25" thickBot="1" x14ac:dyDescent="0.3">
      <c r="A124" s="162" t="s">
        <v>112</v>
      </c>
      <c r="B124" s="163">
        <v>3030</v>
      </c>
      <c r="C124" s="164">
        <v>159000</v>
      </c>
      <c r="D124" s="165">
        <v>207361</v>
      </c>
      <c r="E124" s="165">
        <f>D124-C124</f>
        <v>48361</v>
      </c>
      <c r="F124" s="165">
        <f>D124/C124*100</f>
        <v>130.41572327044025</v>
      </c>
      <c r="G124" s="164">
        <v>159000</v>
      </c>
      <c r="H124" s="165">
        <v>207361</v>
      </c>
      <c r="I124" s="165">
        <f>H124-G124</f>
        <v>48361</v>
      </c>
      <c r="J124" s="165">
        <f>H124/G124*100</f>
        <v>130.41572327044025</v>
      </c>
    </row>
    <row r="125" spans="1:25" ht="17.25" thickBot="1" x14ac:dyDescent="0.3">
      <c r="A125" s="154" t="s">
        <v>113</v>
      </c>
      <c r="B125" s="104"/>
      <c r="C125" s="149"/>
      <c r="D125" s="149"/>
      <c r="E125" s="149"/>
      <c r="F125" s="149"/>
      <c r="G125" s="149"/>
      <c r="H125" s="149"/>
      <c r="I125" s="149"/>
      <c r="J125" s="149"/>
    </row>
    <row r="126" spans="1:25" ht="33.75" thickBot="1" x14ac:dyDescent="0.3">
      <c r="A126" s="148" t="s">
        <v>114</v>
      </c>
      <c r="B126" s="104">
        <v>4010</v>
      </c>
      <c r="C126" s="149">
        <f>C129</f>
        <v>1800</v>
      </c>
      <c r="D126" s="149">
        <f>D129</f>
        <v>2996.6</v>
      </c>
      <c r="E126" s="149">
        <f>SUM(E127:E130)</f>
        <v>-1196.5999999999999</v>
      </c>
      <c r="F126" s="149">
        <v>0</v>
      </c>
      <c r="G126" s="149">
        <f>SUM(G127:G129)</f>
        <v>21085</v>
      </c>
      <c r="H126" s="149">
        <f>SUM(H127:H129)</f>
        <v>11485.1</v>
      </c>
      <c r="I126" s="149">
        <f>SUM(I127:I130)</f>
        <v>9599.9</v>
      </c>
      <c r="J126" s="149">
        <f t="shared" ref="J126" si="31">H126/G126*100</f>
        <v>54.47047664216268</v>
      </c>
    </row>
    <row r="127" spans="1:25" ht="17.25" thickBot="1" x14ac:dyDescent="0.3">
      <c r="A127" s="137" t="s">
        <v>115</v>
      </c>
      <c r="B127" s="104">
        <v>4011</v>
      </c>
      <c r="C127" s="149">
        <v>0</v>
      </c>
      <c r="D127" s="149">
        <v>0</v>
      </c>
      <c r="E127" s="149">
        <v>0</v>
      </c>
      <c r="F127" s="149">
        <v>0</v>
      </c>
      <c r="G127" s="149">
        <v>0</v>
      </c>
      <c r="H127" s="149">
        <v>0</v>
      </c>
      <c r="I127" s="149">
        <v>0</v>
      </c>
      <c r="J127" s="149">
        <v>0</v>
      </c>
    </row>
    <row r="128" spans="1:25" ht="17.25" thickBot="1" x14ac:dyDescent="0.3">
      <c r="A128" s="137" t="s">
        <v>116</v>
      </c>
      <c r="B128" s="104">
        <v>4012</v>
      </c>
      <c r="C128" s="149">
        <v>0</v>
      </c>
      <c r="D128" s="149">
        <v>0</v>
      </c>
      <c r="E128" s="149">
        <v>0</v>
      </c>
      <c r="F128" s="149">
        <v>0</v>
      </c>
      <c r="G128" s="149">
        <v>0</v>
      </c>
      <c r="H128" s="149">
        <v>0</v>
      </c>
      <c r="I128" s="149">
        <v>0</v>
      </c>
      <c r="J128" s="149">
        <v>0</v>
      </c>
    </row>
    <row r="129" spans="1:10" ht="17.25" thickBot="1" x14ac:dyDescent="0.3">
      <c r="A129" s="137" t="s">
        <v>117</v>
      </c>
      <c r="B129" s="104">
        <v>4013</v>
      </c>
      <c r="C129" s="135">
        <f>C58</f>
        <v>1800</v>
      </c>
      <c r="D129" s="135">
        <f>D58</f>
        <v>2996.6</v>
      </c>
      <c r="E129" s="135">
        <f>C129-D129</f>
        <v>-1196.5999999999999</v>
      </c>
      <c r="F129" s="135">
        <f t="shared" ref="F129" si="32">D129/C129*100</f>
        <v>166.47777777777776</v>
      </c>
      <c r="G129" s="105">
        <f>G58</f>
        <v>21085</v>
      </c>
      <c r="H129" s="105">
        <f>H58</f>
        <v>11485.1</v>
      </c>
      <c r="I129" s="105">
        <f>G129-H129</f>
        <v>9599.9</v>
      </c>
      <c r="J129" s="125">
        <f t="shared" ref="J129" si="33">H129/G129*100</f>
        <v>54.47047664216268</v>
      </c>
    </row>
    <row r="130" spans="1:10" ht="17.25" thickBot="1" x14ac:dyDescent="0.3">
      <c r="A130" s="148" t="s">
        <v>118</v>
      </c>
      <c r="B130" s="104">
        <v>4020</v>
      </c>
      <c r="C130" s="149">
        <v>0</v>
      </c>
      <c r="D130" s="149">
        <v>0</v>
      </c>
      <c r="E130" s="149">
        <v>0</v>
      </c>
      <c r="F130" s="149">
        <v>0</v>
      </c>
      <c r="G130" s="149">
        <v>0</v>
      </c>
      <c r="H130" s="149">
        <v>0</v>
      </c>
      <c r="I130" s="149">
        <v>0</v>
      </c>
      <c r="J130" s="149">
        <v>0</v>
      </c>
    </row>
    <row r="131" spans="1:10" ht="33.75" thickBot="1" x14ac:dyDescent="0.3">
      <c r="A131" s="148" t="s">
        <v>119</v>
      </c>
      <c r="B131" s="104">
        <v>4030</v>
      </c>
      <c r="C131" s="149">
        <v>0</v>
      </c>
      <c r="D131" s="149">
        <v>0</v>
      </c>
      <c r="E131" s="149">
        <f>D131-C131</f>
        <v>0</v>
      </c>
      <c r="F131" s="149">
        <v>0</v>
      </c>
      <c r="G131" s="149">
        <v>0</v>
      </c>
      <c r="H131" s="149">
        <v>0</v>
      </c>
      <c r="I131" s="149">
        <f>H131-G131</f>
        <v>0</v>
      </c>
      <c r="J131" s="149">
        <v>0</v>
      </c>
    </row>
    <row r="132" spans="1:10" ht="17.25" thickBot="1" x14ac:dyDescent="0.3">
      <c r="A132" s="137" t="s">
        <v>115</v>
      </c>
      <c r="B132" s="104">
        <v>4031</v>
      </c>
      <c r="C132" s="149">
        <v>0</v>
      </c>
      <c r="D132" s="149">
        <v>0</v>
      </c>
      <c r="E132" s="149">
        <f t="shared" ref="E132:E135" si="34">D132-C132</f>
        <v>0</v>
      </c>
      <c r="F132" s="149">
        <v>0</v>
      </c>
      <c r="G132" s="149">
        <v>0</v>
      </c>
      <c r="H132" s="149">
        <v>0</v>
      </c>
      <c r="I132" s="149">
        <f t="shared" ref="I132:I135" si="35">H132-G132</f>
        <v>0</v>
      </c>
      <c r="J132" s="149">
        <v>0</v>
      </c>
    </row>
    <row r="133" spans="1:10" ht="17.25" thickBot="1" x14ac:dyDescent="0.3">
      <c r="A133" s="137" t="s">
        <v>116</v>
      </c>
      <c r="B133" s="104">
        <v>4032</v>
      </c>
      <c r="C133" s="149">
        <v>0</v>
      </c>
      <c r="D133" s="149">
        <v>0</v>
      </c>
      <c r="E133" s="149">
        <f t="shared" si="34"/>
        <v>0</v>
      </c>
      <c r="F133" s="149">
        <v>0</v>
      </c>
      <c r="G133" s="149">
        <v>0</v>
      </c>
      <c r="H133" s="149">
        <v>0</v>
      </c>
      <c r="I133" s="149">
        <f t="shared" si="35"/>
        <v>0</v>
      </c>
      <c r="J133" s="149">
        <v>0</v>
      </c>
    </row>
    <row r="134" spans="1:10" ht="17.25" thickBot="1" x14ac:dyDescent="0.3">
      <c r="A134" s="137" t="s">
        <v>117</v>
      </c>
      <c r="B134" s="104">
        <v>4033</v>
      </c>
      <c r="C134" s="149">
        <v>0</v>
      </c>
      <c r="D134" s="149">
        <v>0</v>
      </c>
      <c r="E134" s="149">
        <f t="shared" si="34"/>
        <v>0</v>
      </c>
      <c r="F134" s="149">
        <v>0</v>
      </c>
      <c r="G134" s="149">
        <v>0</v>
      </c>
      <c r="H134" s="149">
        <v>0</v>
      </c>
      <c r="I134" s="149">
        <f t="shared" si="35"/>
        <v>0</v>
      </c>
      <c r="J134" s="149">
        <v>0</v>
      </c>
    </row>
    <row r="135" spans="1:10" ht="17.25" thickBot="1" x14ac:dyDescent="0.3">
      <c r="A135" s="148" t="s">
        <v>120</v>
      </c>
      <c r="B135" s="104">
        <v>4040</v>
      </c>
      <c r="C135" s="149">
        <v>0</v>
      </c>
      <c r="D135" s="149">
        <v>0</v>
      </c>
      <c r="E135" s="149">
        <f t="shared" si="34"/>
        <v>0</v>
      </c>
      <c r="F135" s="149">
        <v>0</v>
      </c>
      <c r="G135" s="149">
        <v>0</v>
      </c>
      <c r="H135" s="149">
        <v>0</v>
      </c>
      <c r="I135" s="149">
        <f t="shared" si="35"/>
        <v>0</v>
      </c>
      <c r="J135" s="149">
        <v>0</v>
      </c>
    </row>
    <row r="136" spans="1:10" ht="17.25" thickBot="1" x14ac:dyDescent="0.3">
      <c r="A136" s="205" t="s">
        <v>121</v>
      </c>
      <c r="B136" s="206"/>
      <c r="C136" s="206"/>
      <c r="D136" s="206"/>
      <c r="E136" s="206"/>
      <c r="F136" s="206"/>
      <c r="G136" s="206"/>
      <c r="H136" s="206"/>
      <c r="I136" s="206"/>
      <c r="J136" s="207"/>
    </row>
    <row r="137" spans="1:10" ht="17.25" thickBot="1" x14ac:dyDescent="0.3">
      <c r="A137" s="148" t="s">
        <v>122</v>
      </c>
      <c r="B137" s="104">
        <v>5010</v>
      </c>
      <c r="C137" s="166"/>
      <c r="D137" s="166"/>
      <c r="E137" s="166"/>
      <c r="F137" s="167"/>
      <c r="G137" s="167"/>
      <c r="H137" s="167"/>
      <c r="I137" s="167"/>
      <c r="J137" s="167"/>
    </row>
    <row r="138" spans="1:10" ht="33.75" thickBot="1" x14ac:dyDescent="0.3">
      <c r="A138" s="148" t="s">
        <v>123</v>
      </c>
      <c r="B138" s="104">
        <v>5020</v>
      </c>
      <c r="C138" s="157"/>
      <c r="D138" s="157"/>
      <c r="E138" s="157"/>
      <c r="F138" s="104" t="s">
        <v>5</v>
      </c>
      <c r="G138" s="168"/>
      <c r="H138" s="168"/>
      <c r="I138" s="168"/>
      <c r="J138" s="104" t="s">
        <v>5</v>
      </c>
    </row>
    <row r="139" spans="1:10" ht="50.25" thickBot="1" x14ac:dyDescent="0.3">
      <c r="A139" s="148" t="s">
        <v>124</v>
      </c>
      <c r="B139" s="104">
        <v>5030</v>
      </c>
      <c r="C139" s="166"/>
      <c r="D139" s="166"/>
      <c r="E139" s="166"/>
      <c r="F139" s="104" t="s">
        <v>5</v>
      </c>
      <c r="G139" s="167"/>
      <c r="H139" s="167"/>
      <c r="I139" s="167"/>
      <c r="J139" s="104" t="s">
        <v>5</v>
      </c>
    </row>
    <row r="140" spans="1:10" ht="17.25" thickBot="1" x14ac:dyDescent="0.3">
      <c r="A140" s="35" t="s">
        <v>125</v>
      </c>
      <c r="B140" s="29">
        <v>5040</v>
      </c>
      <c r="C140" s="36"/>
      <c r="D140" s="36"/>
      <c r="E140" s="36"/>
      <c r="F140" s="29" t="s">
        <v>5</v>
      </c>
      <c r="G140" s="41"/>
      <c r="H140" s="41"/>
      <c r="I140" s="41"/>
      <c r="J140" s="29" t="s">
        <v>5</v>
      </c>
    </row>
    <row r="141" spans="1:10" ht="17.25" thickBot="1" x14ac:dyDescent="0.3">
      <c r="A141" s="193" t="s">
        <v>126</v>
      </c>
      <c r="B141" s="194"/>
      <c r="C141" s="194"/>
      <c r="D141" s="194"/>
      <c r="E141" s="194"/>
      <c r="F141" s="194"/>
      <c r="G141" s="194"/>
      <c r="H141" s="194"/>
      <c r="I141" s="194"/>
      <c r="J141" s="195"/>
    </row>
    <row r="142" spans="1:10" ht="17.25" thickBot="1" x14ac:dyDescent="0.3">
      <c r="A142" s="35" t="s">
        <v>127</v>
      </c>
      <c r="B142" s="29">
        <v>6010</v>
      </c>
      <c r="C142" s="39">
        <v>0</v>
      </c>
      <c r="D142" s="39">
        <v>0</v>
      </c>
      <c r="E142" s="39">
        <f>D142-C142</f>
        <v>0</v>
      </c>
      <c r="F142" s="39">
        <v>0</v>
      </c>
      <c r="G142" s="39">
        <v>0</v>
      </c>
      <c r="H142" s="37">
        <v>0</v>
      </c>
      <c r="I142" s="37">
        <f t="shared" ref="I142:I144" si="36">H142-G142</f>
        <v>0</v>
      </c>
      <c r="J142" s="39">
        <v>0</v>
      </c>
    </row>
    <row r="143" spans="1:10" ht="17.25" thickBot="1" x14ac:dyDescent="0.3">
      <c r="A143" s="35" t="s">
        <v>128</v>
      </c>
      <c r="B143" s="29">
        <v>6020</v>
      </c>
      <c r="C143" s="39">
        <v>0</v>
      </c>
      <c r="D143" s="39">
        <v>0</v>
      </c>
      <c r="E143" s="39">
        <f t="shared" ref="E143:E146" si="37">D143-C143</f>
        <v>0</v>
      </c>
      <c r="F143" s="39">
        <v>0</v>
      </c>
      <c r="G143" s="39">
        <v>0</v>
      </c>
      <c r="H143" s="37">
        <v>0</v>
      </c>
      <c r="I143" s="37">
        <f t="shared" si="36"/>
        <v>0</v>
      </c>
      <c r="J143" s="39">
        <v>0</v>
      </c>
    </row>
    <row r="144" spans="1:10" ht="17.25" thickBot="1" x14ac:dyDescent="0.3">
      <c r="A144" s="35" t="s">
        <v>129</v>
      </c>
      <c r="B144" s="29">
        <v>6030</v>
      </c>
      <c r="C144" s="39">
        <f>C142+C143</f>
        <v>0</v>
      </c>
      <c r="D144" s="39">
        <v>0</v>
      </c>
      <c r="E144" s="39">
        <f t="shared" si="37"/>
        <v>0</v>
      </c>
      <c r="F144" s="39">
        <v>0</v>
      </c>
      <c r="G144" s="39">
        <f>G142+G143</f>
        <v>0</v>
      </c>
      <c r="H144" s="39">
        <v>0</v>
      </c>
      <c r="I144" s="37">
        <f t="shared" si="36"/>
        <v>0</v>
      </c>
      <c r="J144" s="39">
        <v>0</v>
      </c>
    </row>
    <row r="145" spans="1:51" ht="19.5" thickBot="1" x14ac:dyDescent="0.3">
      <c r="A145" s="35" t="s">
        <v>130</v>
      </c>
      <c r="B145" s="29">
        <v>6040</v>
      </c>
      <c r="C145" s="39">
        <v>0</v>
      </c>
      <c r="D145" s="39">
        <v>0</v>
      </c>
      <c r="E145" s="39">
        <f t="shared" si="37"/>
        <v>0</v>
      </c>
      <c r="F145" s="39">
        <v>0</v>
      </c>
      <c r="G145" s="39">
        <v>0</v>
      </c>
      <c r="H145" s="39">
        <v>0</v>
      </c>
      <c r="I145" s="37">
        <f>H145-G145</f>
        <v>0</v>
      </c>
      <c r="J145" s="39">
        <v>0</v>
      </c>
      <c r="AP145" s="84">
        <v>1</v>
      </c>
      <c r="AT145">
        <v>21949.923746186279</v>
      </c>
      <c r="AU145">
        <v>32447</v>
      </c>
      <c r="AV145">
        <v>33797.185979225942</v>
      </c>
      <c r="AW145">
        <f>AT145+AU145+AV145</f>
        <v>88194.109725412214</v>
      </c>
    </row>
    <row r="146" spans="1:51" ht="19.5" thickBot="1" x14ac:dyDescent="0.3">
      <c r="A146" s="35" t="s">
        <v>131</v>
      </c>
      <c r="B146" s="29">
        <v>6050</v>
      </c>
      <c r="C146" s="39">
        <v>0</v>
      </c>
      <c r="D146" s="39">
        <v>0</v>
      </c>
      <c r="E146" s="39">
        <f t="shared" si="37"/>
        <v>0</v>
      </c>
      <c r="F146" s="39">
        <v>0</v>
      </c>
      <c r="G146" s="39">
        <v>0</v>
      </c>
      <c r="H146" s="39">
        <v>0</v>
      </c>
      <c r="I146" s="37">
        <v>0</v>
      </c>
      <c r="J146" s="39">
        <v>0</v>
      </c>
      <c r="Y146" s="33"/>
      <c r="Z146" s="33"/>
      <c r="AP146" s="84">
        <f>98+13</f>
        <v>111</v>
      </c>
      <c r="AT146">
        <v>157.5</v>
      </c>
      <c r="AU146">
        <v>245</v>
      </c>
      <c r="AV146">
        <v>280</v>
      </c>
    </row>
    <row r="147" spans="1:51" ht="21.6" customHeight="1" thickBot="1" x14ac:dyDescent="0.3">
      <c r="A147" s="42"/>
      <c r="B147" s="43"/>
      <c r="C147" s="43">
        <v>5</v>
      </c>
      <c r="D147" s="43"/>
      <c r="E147" s="43"/>
      <c r="F147" s="43"/>
      <c r="G147" s="43"/>
      <c r="H147" s="43"/>
      <c r="I147" s="43"/>
      <c r="J147" s="44" t="s">
        <v>54</v>
      </c>
      <c r="Z147" s="33"/>
      <c r="AP147" s="87">
        <v>26</v>
      </c>
      <c r="AT147">
        <v>7703.8</v>
      </c>
      <c r="AU147">
        <v>9911.9</v>
      </c>
      <c r="AV147">
        <v>10975.382871497201</v>
      </c>
    </row>
    <row r="148" spans="1:51" ht="37.5" customHeight="1" thickBot="1" x14ac:dyDescent="0.3">
      <c r="A148" s="20"/>
      <c r="B148" s="21"/>
      <c r="C148" s="199" t="s">
        <v>172</v>
      </c>
      <c r="D148" s="200"/>
      <c r="E148" s="200"/>
      <c r="F148" s="201"/>
      <c r="G148" s="202" t="s">
        <v>158</v>
      </c>
      <c r="H148" s="203"/>
      <c r="I148" s="203"/>
      <c r="J148" s="204"/>
      <c r="Z148" s="33"/>
      <c r="AP148" s="87">
        <v>203</v>
      </c>
      <c r="AT148">
        <v>2030.32374618628</v>
      </c>
      <c r="AU148">
        <v>2617.1999999999998</v>
      </c>
      <c r="AV148">
        <v>2617.1999999999998</v>
      </c>
    </row>
    <row r="149" spans="1:51" ht="11.25" customHeight="1" thickBot="1" x14ac:dyDescent="0.3">
      <c r="A149" s="24" t="s">
        <v>43</v>
      </c>
      <c r="B149" s="25" t="s">
        <v>44</v>
      </c>
      <c r="C149" s="26"/>
      <c r="D149" s="26"/>
      <c r="E149" s="26"/>
      <c r="F149" s="26"/>
      <c r="G149" s="26"/>
      <c r="H149" s="26"/>
      <c r="I149" s="26"/>
      <c r="J149" s="26"/>
      <c r="Z149" s="33"/>
      <c r="AP149" s="87">
        <v>62</v>
      </c>
      <c r="AT149">
        <v>9440.7000000000007</v>
      </c>
      <c r="AU149">
        <v>14292.099999999999</v>
      </c>
      <c r="AV149">
        <v>14403.167712225599</v>
      </c>
    </row>
    <row r="150" spans="1:51" ht="18.75" customHeight="1" thickBot="1" x14ac:dyDescent="0.3">
      <c r="A150" s="27"/>
      <c r="B150" s="28"/>
      <c r="C150" s="29" t="s">
        <v>45</v>
      </c>
      <c r="D150" s="29" t="s">
        <v>46</v>
      </c>
      <c r="E150" s="29" t="s">
        <v>47</v>
      </c>
      <c r="F150" s="29" t="s">
        <v>48</v>
      </c>
      <c r="G150" s="29" t="s">
        <v>45</v>
      </c>
      <c r="H150" s="29" t="s">
        <v>46</v>
      </c>
      <c r="I150" s="29" t="s">
        <v>47</v>
      </c>
      <c r="J150" s="29" t="s">
        <v>48</v>
      </c>
      <c r="Z150" s="33"/>
      <c r="AP150" s="84">
        <v>53</v>
      </c>
      <c r="AT150">
        <v>1349.1</v>
      </c>
      <c r="AU150">
        <v>2911.9</v>
      </c>
      <c r="AV150">
        <v>3052.5353955031401</v>
      </c>
    </row>
    <row r="151" spans="1:51" ht="17.25" thickBot="1" x14ac:dyDescent="0.3">
      <c r="A151" s="30">
        <v>1</v>
      </c>
      <c r="B151" s="29">
        <v>2</v>
      </c>
      <c r="C151" s="29">
        <v>3</v>
      </c>
      <c r="D151" s="29">
        <v>4</v>
      </c>
      <c r="E151" s="29">
        <v>5</v>
      </c>
      <c r="F151" s="29">
        <v>6</v>
      </c>
      <c r="G151" s="29">
        <v>7</v>
      </c>
      <c r="H151" s="29">
        <v>8</v>
      </c>
      <c r="I151" s="29">
        <v>9</v>
      </c>
      <c r="J151" s="29">
        <v>10</v>
      </c>
      <c r="Z151" s="33"/>
      <c r="AT151">
        <v>1268.5</v>
      </c>
      <c r="AU151">
        <v>2468.9</v>
      </c>
      <c r="AV151">
        <v>2468.9</v>
      </c>
    </row>
    <row r="152" spans="1:51" ht="17.25" thickBot="1" x14ac:dyDescent="0.3">
      <c r="A152" s="193" t="s">
        <v>132</v>
      </c>
      <c r="B152" s="195"/>
      <c r="C152" s="40"/>
      <c r="D152" s="40"/>
      <c r="E152" s="40"/>
      <c r="F152" s="40"/>
      <c r="G152" s="40"/>
      <c r="H152" s="40"/>
      <c r="I152" s="40"/>
      <c r="J152" s="40"/>
      <c r="AN152" s="33">
        <f>D153-AN153</f>
        <v>1</v>
      </c>
      <c r="AV152" s="34">
        <v>88194.109725412214</v>
      </c>
      <c r="AW152" s="34">
        <v>76182.3</v>
      </c>
      <c r="AX152" s="31">
        <f>H160+AX166</f>
        <v>103376</v>
      </c>
      <c r="AY152" s="34">
        <f>AW152-AX152</f>
        <v>-27193.699999999997</v>
      </c>
    </row>
    <row r="153" spans="1:51" ht="30" customHeight="1" thickBot="1" x14ac:dyDescent="0.3">
      <c r="A153" s="45" t="s">
        <v>133</v>
      </c>
      <c r="B153" s="46">
        <v>7010</v>
      </c>
      <c r="C153" s="79">
        <f t="shared" ref="C153" si="38">C154+C155+C156+C157+C158+C159</f>
        <v>474</v>
      </c>
      <c r="D153" s="81">
        <f>D154+D155+D156+D157+D158+D159</f>
        <v>457</v>
      </c>
      <c r="E153" s="82">
        <f t="shared" ref="E153:E158" si="39">D153-C153</f>
        <v>-17</v>
      </c>
      <c r="F153" s="83">
        <f t="shared" ref="F153:F159" si="40">D153/C153*100</f>
        <v>96.413502109704638</v>
      </c>
      <c r="G153" s="79">
        <f t="shared" ref="G153" si="41">G154+G155+G156+G157+G158+G159</f>
        <v>474</v>
      </c>
      <c r="H153" s="81">
        <f>H154+H155+H156+H157+H158+H159</f>
        <v>457</v>
      </c>
      <c r="I153" s="47">
        <f t="shared" ref="I153:I159" si="42">H153-G153</f>
        <v>-17</v>
      </c>
      <c r="J153" s="49">
        <f t="shared" ref="J153:J159" si="43">H153/G153*100</f>
        <v>96.413502109704638</v>
      </c>
      <c r="K153" s="50"/>
      <c r="AN153">
        <f>456</f>
        <v>456</v>
      </c>
      <c r="AO153">
        <f>114+201+65+77</f>
        <v>457</v>
      </c>
      <c r="AR153">
        <v>32447</v>
      </c>
      <c r="AS153">
        <v>28263.4</v>
      </c>
      <c r="AT153">
        <v>-4183.5999999999985</v>
      </c>
      <c r="AU153">
        <v>87.106358060837678</v>
      </c>
      <c r="AV153" s="34">
        <v>54396.9</v>
      </c>
      <c r="AW153" s="34">
        <v>48988.6</v>
      </c>
    </row>
    <row r="154" spans="1:51" ht="16.5" customHeight="1" thickBot="1" x14ac:dyDescent="0.3">
      <c r="A154" s="38" t="s">
        <v>134</v>
      </c>
      <c r="B154" s="46">
        <v>7011</v>
      </c>
      <c r="C154" s="79">
        <v>1</v>
      </c>
      <c r="D154" s="84">
        <v>1</v>
      </c>
      <c r="E154" s="85">
        <f t="shared" si="39"/>
        <v>0</v>
      </c>
      <c r="F154" s="86">
        <f t="shared" si="40"/>
        <v>100</v>
      </c>
      <c r="G154" s="79">
        <v>1</v>
      </c>
      <c r="H154" s="84">
        <v>1</v>
      </c>
      <c r="I154" s="51">
        <f t="shared" si="42"/>
        <v>0</v>
      </c>
      <c r="J154" s="53">
        <f t="shared" si="43"/>
        <v>100</v>
      </c>
      <c r="N154" s="54"/>
      <c r="P154" s="55"/>
      <c r="AV154" s="34">
        <f>AV152-AV153</f>
        <v>33797.209725412213</v>
      </c>
      <c r="AW154" s="34">
        <f>AW152-AW153</f>
        <v>27193.700000000004</v>
      </c>
    </row>
    <row r="155" spans="1:51" ht="16.5" customHeight="1" thickBot="1" x14ac:dyDescent="0.3">
      <c r="A155" s="38" t="s">
        <v>135</v>
      </c>
      <c r="B155" s="46">
        <v>7012</v>
      </c>
      <c r="C155" s="79">
        <v>116</v>
      </c>
      <c r="D155" s="84">
        <f>100+10+3+1-1</f>
        <v>113</v>
      </c>
      <c r="E155" s="85">
        <f t="shared" si="39"/>
        <v>-3</v>
      </c>
      <c r="F155" s="86">
        <f t="shared" si="40"/>
        <v>97.41379310344827</v>
      </c>
      <c r="G155" s="79">
        <v>116</v>
      </c>
      <c r="H155" s="84">
        <f>100+10+3+1-1</f>
        <v>113</v>
      </c>
      <c r="I155" s="51">
        <f t="shared" si="42"/>
        <v>-3</v>
      </c>
      <c r="J155" s="53">
        <f t="shared" si="43"/>
        <v>97.41379310344827</v>
      </c>
      <c r="K155" s="56"/>
      <c r="L155" s="57"/>
      <c r="M155" s="57"/>
      <c r="N155" s="58"/>
      <c r="O155" s="57"/>
      <c r="P155" s="59"/>
      <c r="Q155" s="57"/>
      <c r="AR155" s="31">
        <f>C160-AR153</f>
        <v>1350.185979225942</v>
      </c>
      <c r="AS155" s="31">
        <f>D160-AS153</f>
        <v>-1069.7000000000044</v>
      </c>
      <c r="AV155" s="31">
        <f>G160-AV153</f>
        <v>33797.191456186272</v>
      </c>
      <c r="AW155" s="31">
        <f>H160-AW153</f>
        <v>27193.700000000004</v>
      </c>
    </row>
    <row r="156" spans="1:51" ht="21" thickBot="1" x14ac:dyDescent="0.3">
      <c r="A156" s="38" t="s">
        <v>136</v>
      </c>
      <c r="B156" s="46">
        <v>7013</v>
      </c>
      <c r="C156" s="79">
        <v>27</v>
      </c>
      <c r="D156" s="87">
        <v>24</v>
      </c>
      <c r="E156" s="85">
        <f t="shared" si="39"/>
        <v>-3</v>
      </c>
      <c r="F156" s="86">
        <f t="shared" si="40"/>
        <v>88.888888888888886</v>
      </c>
      <c r="G156" s="79">
        <v>27</v>
      </c>
      <c r="H156" s="87">
        <v>24</v>
      </c>
      <c r="I156" s="51">
        <f t="shared" si="42"/>
        <v>-3</v>
      </c>
      <c r="J156" s="53">
        <f t="shared" si="43"/>
        <v>88.888888888888886</v>
      </c>
      <c r="K156" s="60"/>
      <c r="L156" s="57"/>
      <c r="M156" s="57"/>
      <c r="N156" s="58"/>
      <c r="O156" s="57"/>
      <c r="P156" s="59"/>
      <c r="Q156" s="57"/>
      <c r="AO156" s="91">
        <f>D156+D159+15</f>
        <v>93</v>
      </c>
      <c r="AY156" s="31">
        <f>AY159-AY157</f>
        <v>2.3746186285279691E-2</v>
      </c>
    </row>
    <row r="157" spans="1:51" ht="21" thickBot="1" x14ac:dyDescent="0.3">
      <c r="A157" s="38" t="s">
        <v>137</v>
      </c>
      <c r="B157" s="46">
        <v>7014</v>
      </c>
      <c r="C157" s="79">
        <v>211</v>
      </c>
      <c r="D157" s="87">
        <v>203</v>
      </c>
      <c r="E157" s="85">
        <f t="shared" si="39"/>
        <v>-8</v>
      </c>
      <c r="F157" s="86">
        <f t="shared" si="40"/>
        <v>96.208530805687204</v>
      </c>
      <c r="G157" s="79">
        <v>211</v>
      </c>
      <c r="H157" s="87">
        <v>203</v>
      </c>
      <c r="I157" s="51">
        <f t="shared" si="42"/>
        <v>-8</v>
      </c>
      <c r="J157" s="53">
        <f t="shared" si="43"/>
        <v>96.208530805687204</v>
      </c>
      <c r="K157" s="60"/>
      <c r="L157" s="57"/>
      <c r="M157" s="57"/>
      <c r="N157" s="58"/>
      <c r="O157" s="57"/>
      <c r="P157" s="59"/>
      <c r="Q157" s="57"/>
      <c r="Z157" s="31">
        <f>Z160-Z159</f>
        <v>-4.9999999995634425E-2</v>
      </c>
      <c r="AN157" s="95">
        <f>AV152-G160</f>
        <v>1.8269225940457545E-2</v>
      </c>
      <c r="AO157" s="97">
        <f>AW166-H160</f>
        <v>0</v>
      </c>
      <c r="AY157">
        <f>21949.9+32447</f>
        <v>54396.9</v>
      </c>
    </row>
    <row r="158" spans="1:51" ht="21" thickBot="1" x14ac:dyDescent="0.3">
      <c r="A158" s="38" t="s">
        <v>138</v>
      </c>
      <c r="B158" s="46">
        <v>7015</v>
      </c>
      <c r="C158" s="79">
        <v>65</v>
      </c>
      <c r="D158" s="87">
        <v>62</v>
      </c>
      <c r="E158" s="85">
        <f t="shared" si="39"/>
        <v>-3</v>
      </c>
      <c r="F158" s="86">
        <f t="shared" si="40"/>
        <v>95.384615384615387</v>
      </c>
      <c r="G158" s="79">
        <v>65</v>
      </c>
      <c r="H158" s="87">
        <v>62</v>
      </c>
      <c r="I158" s="51">
        <f t="shared" si="42"/>
        <v>-3</v>
      </c>
      <c r="J158" s="53">
        <f t="shared" si="43"/>
        <v>95.384615384615387</v>
      </c>
      <c r="K158" s="60"/>
      <c r="L158" s="57"/>
      <c r="M158" s="61"/>
      <c r="N158" s="58"/>
      <c r="O158" s="62"/>
      <c r="P158" s="59"/>
      <c r="Q158" s="57"/>
      <c r="Z158" s="31">
        <f>Z159-D160</f>
        <v>-2751.8999999999978</v>
      </c>
      <c r="AC158" s="31">
        <f>AC159-G160</f>
        <v>-40924.091456186274</v>
      </c>
      <c r="AD158" s="31">
        <f>AD159-H160</f>
        <v>-28912.400000000001</v>
      </c>
      <c r="AN158" s="31">
        <f>AV165-D160</f>
        <v>1069.7000000000116</v>
      </c>
      <c r="AO158" s="31">
        <f>C160-AO159</f>
        <v>33797.185979225942</v>
      </c>
      <c r="AP158" s="31">
        <f>D160-AP159</f>
        <v>6468.4999999999964</v>
      </c>
      <c r="AS158" s="31">
        <f>G160-AS159</f>
        <v>66244.191456186265</v>
      </c>
      <c r="AT158" s="31">
        <f>H160-AT159</f>
        <v>55457.100000000006</v>
      </c>
    </row>
    <row r="159" spans="1:51" ht="21" thickBot="1" x14ac:dyDescent="0.3">
      <c r="A159" s="38" t="s">
        <v>139</v>
      </c>
      <c r="B159" s="46">
        <v>7016</v>
      </c>
      <c r="C159" s="79">
        <v>54</v>
      </c>
      <c r="D159" s="84">
        <v>54</v>
      </c>
      <c r="E159" s="85">
        <f>D159-C159</f>
        <v>0</v>
      </c>
      <c r="F159" s="86">
        <f t="shared" si="40"/>
        <v>100</v>
      </c>
      <c r="G159" s="79">
        <v>54</v>
      </c>
      <c r="H159" s="84">
        <v>54</v>
      </c>
      <c r="I159" s="51">
        <f t="shared" si="42"/>
        <v>0</v>
      </c>
      <c r="J159" s="53">
        <f t="shared" si="43"/>
        <v>100</v>
      </c>
      <c r="K159" s="60"/>
      <c r="L159" s="57"/>
      <c r="M159" s="57"/>
      <c r="N159" s="58"/>
      <c r="O159" s="62"/>
      <c r="P159" s="59"/>
      <c r="Q159" s="57"/>
      <c r="Y159">
        <v>24441.8</v>
      </c>
      <c r="Z159">
        <v>24441.8</v>
      </c>
      <c r="AA159" s="63">
        <v>0</v>
      </c>
      <c r="AB159" s="63">
        <v>100</v>
      </c>
      <c r="AC159" s="63">
        <v>47270</v>
      </c>
      <c r="AD159" s="63">
        <v>47269.9</v>
      </c>
      <c r="AE159" s="63">
        <v>-9.9999999998544808E-2</v>
      </c>
      <c r="AF159" s="63">
        <v>99.999788449333622</v>
      </c>
      <c r="AG159" s="64"/>
      <c r="AH159" s="64"/>
      <c r="AI159" s="64"/>
      <c r="AJ159" s="64"/>
      <c r="AK159" s="64"/>
      <c r="AL159" s="64"/>
      <c r="AM159" s="64"/>
      <c r="AN159" s="94">
        <f>H160-AU166</f>
        <v>27193.699999999997</v>
      </c>
      <c r="AO159" s="83"/>
      <c r="AP159" s="90">
        <v>20725.2</v>
      </c>
      <c r="AQ159" s="90">
        <v>-1224.7000000000007</v>
      </c>
      <c r="AR159" s="90">
        <v>94.420475719707156</v>
      </c>
      <c r="AS159" s="90">
        <v>21949.9</v>
      </c>
      <c r="AT159" s="90">
        <v>20725.2</v>
      </c>
      <c r="AU159" s="90">
        <v>-1224.7000000000007</v>
      </c>
      <c r="AV159" s="90">
        <v>94.420475719707156</v>
      </c>
      <c r="AX159" s="83">
        <f>AX160+AX161+AX162+AX163+AX164+AX165</f>
        <v>32447</v>
      </c>
      <c r="AY159" s="83">
        <f>AY160+AY161+AY162+AY163+AY164+AY165</f>
        <v>54396.923746186287</v>
      </c>
    </row>
    <row r="160" spans="1:51" ht="19.5" thickBot="1" x14ac:dyDescent="0.3">
      <c r="A160" s="35" t="s">
        <v>140</v>
      </c>
      <c r="B160" s="46">
        <v>7020</v>
      </c>
      <c r="C160" s="83">
        <f>C161+C162+C163+C164+C165+C166</f>
        <v>33797.185979225942</v>
      </c>
      <c r="D160" s="83">
        <f>D161+D162+D163+D164+D165+D166</f>
        <v>27193.699999999997</v>
      </c>
      <c r="E160" s="96">
        <f>D160-C160</f>
        <v>-6603.4859792259449</v>
      </c>
      <c r="F160" s="96">
        <f>D160/C160*100</f>
        <v>80.461432548600655</v>
      </c>
      <c r="G160" s="83">
        <f>G161+G162+G163+G164+G165+G166</f>
        <v>88194.091456186274</v>
      </c>
      <c r="H160" s="83">
        <f>H161+H162+H163+H164+H165+H166</f>
        <v>76182.3</v>
      </c>
      <c r="I160" s="48">
        <f>H160-G160</f>
        <v>-12011.791456186271</v>
      </c>
      <c r="J160" s="49">
        <f>H160/G160*100</f>
        <v>86.380276435917963</v>
      </c>
      <c r="K160" s="62"/>
      <c r="L160" s="65"/>
      <c r="M160" s="65"/>
      <c r="N160" s="65"/>
      <c r="O160" s="65"/>
      <c r="P160" s="57"/>
      <c r="Q160" s="57"/>
      <c r="Y160" s="66">
        <f t="shared" ref="Y160:AA160" si="44">Y161+Y162+Y163+Y164+Y165+Y166</f>
        <v>22828.1</v>
      </c>
      <c r="Z160" s="67">
        <f t="shared" si="44"/>
        <v>24441.750000000004</v>
      </c>
      <c r="AA160" s="66">
        <f t="shared" si="44"/>
        <v>47269.850000000006</v>
      </c>
      <c r="AB160" s="63">
        <v>100</v>
      </c>
      <c r="AC160" s="66">
        <f t="shared" ref="AC160:AD160" si="45">AC161+AC162+AC163+AC164+AC165+AC166</f>
        <v>47269.950000000004</v>
      </c>
      <c r="AD160" s="66">
        <f t="shared" si="45"/>
        <v>47269.850000000006</v>
      </c>
      <c r="AE160" s="63">
        <v>-9.9999999998544808E-2</v>
      </c>
      <c r="AF160" s="63">
        <v>99.999788449333622</v>
      </c>
      <c r="AG160" s="63"/>
      <c r="AH160" s="63"/>
      <c r="AI160" s="64"/>
      <c r="AJ160" s="64"/>
      <c r="AK160" s="64"/>
      <c r="AL160" s="64"/>
      <c r="AM160" s="64"/>
      <c r="AN160" s="64"/>
      <c r="AO160" s="94">
        <f>AX166-D160</f>
        <v>0</v>
      </c>
      <c r="AX160" s="88">
        <v>245</v>
      </c>
      <c r="AY160" s="31">
        <v>402.5</v>
      </c>
    </row>
    <row r="161" spans="1:51" ht="18" customHeight="1" thickBot="1" x14ac:dyDescent="0.3">
      <c r="A161" s="38" t="s">
        <v>134</v>
      </c>
      <c r="B161" s="46">
        <v>7021</v>
      </c>
      <c r="C161" s="80">
        <v>280</v>
      </c>
      <c r="D161" s="100">
        <v>105</v>
      </c>
      <c r="E161" s="101">
        <f t="shared" ref="E161:E173" si="46">D161-C161</f>
        <v>-175</v>
      </c>
      <c r="F161" s="101">
        <f t="shared" ref="F161:F173" si="47">D161/C161*100</f>
        <v>37.5</v>
      </c>
      <c r="G161" s="92">
        <f>402.5+280</f>
        <v>682.5</v>
      </c>
      <c r="H161" s="100">
        <f>212.3+105</f>
        <v>317.3</v>
      </c>
      <c r="I161" s="52">
        <f t="shared" ref="I161:I173" si="48">H161-G161</f>
        <v>-365.2</v>
      </c>
      <c r="J161" s="53">
        <f t="shared" ref="J161:J173" si="49">H161/G161*100</f>
        <v>46.490842490842496</v>
      </c>
      <c r="K161" s="62"/>
      <c r="L161" s="62"/>
      <c r="M161" s="57"/>
      <c r="N161" s="57"/>
      <c r="O161" s="57"/>
      <c r="P161" s="57"/>
      <c r="Q161" s="57"/>
      <c r="Y161">
        <v>90</v>
      </c>
      <c r="Z161">
        <v>170</v>
      </c>
      <c r="AA161" s="63">
        <f>Y161+Z161</f>
        <v>260</v>
      </c>
      <c r="AB161" s="63">
        <f>C161+G161</f>
        <v>962.5</v>
      </c>
      <c r="AC161" s="63">
        <v>260</v>
      </c>
      <c r="AD161" s="63">
        <v>13122.45</v>
      </c>
      <c r="AE161" s="63"/>
      <c r="AF161" s="63"/>
      <c r="AG161" s="63"/>
      <c r="AH161" s="63"/>
      <c r="AI161" s="64"/>
      <c r="AJ161" s="64"/>
      <c r="AK161" s="64"/>
      <c r="AL161" s="64"/>
      <c r="AM161" s="64"/>
      <c r="AN161" s="64">
        <v>212.3</v>
      </c>
      <c r="AO161" s="64">
        <v>157.5</v>
      </c>
      <c r="AP161">
        <v>105</v>
      </c>
      <c r="AS161">
        <v>104.96999999999997</v>
      </c>
      <c r="AU161">
        <v>317.27</v>
      </c>
      <c r="AV161" s="31">
        <f>AU161-H161</f>
        <v>-3.0000000000029559E-2</v>
      </c>
      <c r="AW161">
        <f>AN161-105</f>
        <v>107.30000000000001</v>
      </c>
      <c r="AX161" s="88">
        <v>9911.9</v>
      </c>
      <c r="AY161" s="31">
        <v>17615.7</v>
      </c>
    </row>
    <row r="162" spans="1:51" ht="21" thickBot="1" x14ac:dyDescent="0.3">
      <c r="A162" s="38" t="s">
        <v>135</v>
      </c>
      <c r="B162" s="46">
        <v>7022</v>
      </c>
      <c r="C162" s="80">
        <v>10975.382871497201</v>
      </c>
      <c r="D162" s="100">
        <f>8092.4-105+1073</f>
        <v>9060.4</v>
      </c>
      <c r="E162" s="101">
        <f t="shared" si="46"/>
        <v>-1914.9828714972009</v>
      </c>
      <c r="F162" s="101">
        <f t="shared" si="47"/>
        <v>82.552017602316511</v>
      </c>
      <c r="G162" s="92">
        <f>17615.7+10975.4</f>
        <v>28591.1</v>
      </c>
      <c r="H162" s="100">
        <f>6271.7+877.4-105+8870+9060.4</f>
        <v>24974.5</v>
      </c>
      <c r="I162" s="52">
        <f t="shared" si="48"/>
        <v>-3616.5999999999985</v>
      </c>
      <c r="J162" s="53">
        <f t="shared" si="49"/>
        <v>87.350609105630781</v>
      </c>
      <c r="K162" s="57"/>
      <c r="L162" s="62"/>
      <c r="M162" s="62"/>
      <c r="N162" s="62"/>
      <c r="O162" s="57"/>
      <c r="P162" s="57"/>
      <c r="Q162" s="57"/>
      <c r="Y162">
        <v>6223.2</v>
      </c>
      <c r="Z162" s="31">
        <v>6639.2500000000009</v>
      </c>
      <c r="AA162" s="63">
        <f t="shared" ref="AA162:AA166" si="50">Y162+Z162</f>
        <v>12862.45</v>
      </c>
      <c r="AB162" s="63">
        <f t="shared" ref="AB162:AB166" si="51">C162+G162</f>
        <v>39566.482871497195</v>
      </c>
      <c r="AC162">
        <v>12862.55</v>
      </c>
      <c r="AD162">
        <v>21437.7</v>
      </c>
      <c r="AE162" t="s">
        <v>137</v>
      </c>
      <c r="AO162">
        <v>7703.8</v>
      </c>
      <c r="AP162">
        <v>7044.0999999999995</v>
      </c>
      <c r="AX162" s="88">
        <v>2617.1999999999998</v>
      </c>
      <c r="AY162" s="31">
        <v>4647.5237461862798</v>
      </c>
    </row>
    <row r="163" spans="1:51" ht="21" thickBot="1" x14ac:dyDescent="0.3">
      <c r="A163" s="38" t="s">
        <v>136</v>
      </c>
      <c r="B163" s="46">
        <v>7023</v>
      </c>
      <c r="C163" s="80">
        <v>2617.1999999999998</v>
      </c>
      <c r="D163" s="100">
        <v>1553.4</v>
      </c>
      <c r="E163" s="101">
        <f t="shared" si="46"/>
        <v>-1063.7999999999997</v>
      </c>
      <c r="F163" s="101">
        <f t="shared" si="47"/>
        <v>59.353507565337004</v>
      </c>
      <c r="G163" s="92">
        <f>4647.52374618628+2617.2</f>
        <v>7264.7237461862796</v>
      </c>
      <c r="H163" s="100">
        <f>2374.1-877.4+1795.7+50+1553.4</f>
        <v>4895.7999999999993</v>
      </c>
      <c r="I163" s="52">
        <f t="shared" si="48"/>
        <v>-2368.9237461862804</v>
      </c>
      <c r="J163" s="53">
        <f t="shared" si="49"/>
        <v>67.391413232610802</v>
      </c>
      <c r="K163" s="57"/>
      <c r="L163" s="62"/>
      <c r="M163" s="62"/>
      <c r="N163" s="62"/>
      <c r="O163" s="57"/>
      <c r="P163" s="57"/>
      <c r="Q163" s="57"/>
      <c r="Y163">
        <v>1934.6</v>
      </c>
      <c r="Z163" s="31">
        <v>2626.4</v>
      </c>
      <c r="AA163" s="63">
        <f t="shared" si="50"/>
        <v>4561</v>
      </c>
      <c r="AB163" s="63">
        <f t="shared" si="51"/>
        <v>9881.9237461862795</v>
      </c>
      <c r="AC163">
        <v>4561</v>
      </c>
      <c r="AD163">
        <v>5004.8</v>
      </c>
      <c r="AE163" t="s">
        <v>138</v>
      </c>
      <c r="AO163">
        <v>2030.32374618628</v>
      </c>
      <c r="AP163">
        <v>1496.6999999999998</v>
      </c>
      <c r="AQ163" s="31">
        <f>D163+AP163</f>
        <v>3050.1</v>
      </c>
      <c r="AR163" s="31">
        <f>AQ163-H163</f>
        <v>-1845.6999999999994</v>
      </c>
      <c r="AX163" s="88">
        <v>14292.099999999999</v>
      </c>
      <c r="AY163" s="31">
        <v>23732.799999999999</v>
      </c>
    </row>
    <row r="164" spans="1:51" ht="21" thickBot="1" x14ac:dyDescent="0.3">
      <c r="A164" s="38" t="s">
        <v>137</v>
      </c>
      <c r="B164" s="46">
        <v>7024</v>
      </c>
      <c r="C164" s="80">
        <v>14403.167712225599</v>
      </c>
      <c r="D164" s="100">
        <v>12007.8</v>
      </c>
      <c r="E164" s="101">
        <f t="shared" si="46"/>
        <v>-2395.3677122255995</v>
      </c>
      <c r="F164" s="101">
        <f t="shared" si="47"/>
        <v>83.369160450777926</v>
      </c>
      <c r="G164" s="92">
        <f>23732.8+14403.16771</f>
        <v>38135.967709999997</v>
      </c>
      <c r="H164" s="100">
        <f>9100.3+12818.7+12007.8</f>
        <v>33926.800000000003</v>
      </c>
      <c r="I164" s="52">
        <f t="shared" si="48"/>
        <v>-4209.1677099999943</v>
      </c>
      <c r="J164" s="53">
        <f t="shared" si="49"/>
        <v>88.96273527917775</v>
      </c>
      <c r="K164" s="57"/>
      <c r="L164" s="62"/>
      <c r="M164" s="62"/>
      <c r="N164" s="62"/>
      <c r="O164" s="57"/>
      <c r="P164" s="57"/>
      <c r="Q164" s="57"/>
      <c r="Y164">
        <v>10546.8</v>
      </c>
      <c r="Z164" s="31">
        <v>10890.900000000001</v>
      </c>
      <c r="AA164" s="63">
        <f t="shared" si="50"/>
        <v>21437.7</v>
      </c>
      <c r="AB164" s="63">
        <f t="shared" si="51"/>
        <v>52539.135422225598</v>
      </c>
      <c r="AC164">
        <v>21437.699999999997</v>
      </c>
      <c r="AD164">
        <v>4561</v>
      </c>
      <c r="AE164" t="s">
        <v>141</v>
      </c>
      <c r="AO164">
        <v>9440.7000000000007</v>
      </c>
      <c r="AP164">
        <v>9100.2999999999993</v>
      </c>
      <c r="AQ164" s="31">
        <f t="shared" ref="AQ164:AQ166" si="52">D164+AP164</f>
        <v>21108.1</v>
      </c>
      <c r="AR164" s="31">
        <f t="shared" ref="AR164:AR166" si="53">AQ164-H164</f>
        <v>-12818.700000000004</v>
      </c>
      <c r="AV164" s="31">
        <f>AV165-AV166</f>
        <v>0</v>
      </c>
      <c r="AX164" s="88">
        <v>2911.9</v>
      </c>
      <c r="AY164" s="31">
        <v>4261</v>
      </c>
    </row>
    <row r="165" spans="1:51" ht="21" thickBot="1" x14ac:dyDescent="0.3">
      <c r="A165" s="38" t="s">
        <v>138</v>
      </c>
      <c r="B165" s="46">
        <v>7025</v>
      </c>
      <c r="C165" s="80">
        <v>3052.5353955031401</v>
      </c>
      <c r="D165" s="100">
        <v>2539.5</v>
      </c>
      <c r="E165" s="101">
        <f t="shared" si="46"/>
        <v>-513.03539550314008</v>
      </c>
      <c r="F165" s="101">
        <f t="shared" si="47"/>
        <v>83.193138521541115</v>
      </c>
      <c r="G165" s="92">
        <f>4261+3052.5</f>
        <v>7313.5</v>
      </c>
      <c r="H165" s="100">
        <f>1828.5+2559.4-150+2539.5</f>
        <v>6777.4</v>
      </c>
      <c r="I165" s="52">
        <f t="shared" si="48"/>
        <v>-536.10000000000036</v>
      </c>
      <c r="J165" s="53">
        <f t="shared" si="49"/>
        <v>92.66972038011896</v>
      </c>
      <c r="K165" s="57"/>
      <c r="L165" s="62"/>
      <c r="M165" s="62"/>
      <c r="N165" s="62"/>
      <c r="O165" s="57"/>
      <c r="P165" s="57"/>
      <c r="Q165" s="57"/>
      <c r="Y165">
        <v>2519.1</v>
      </c>
      <c r="Z165" s="31">
        <v>2485.7000000000003</v>
      </c>
      <c r="AA165" s="63">
        <f t="shared" si="50"/>
        <v>5004.8</v>
      </c>
      <c r="AB165" s="63">
        <f t="shared" si="51"/>
        <v>10366.035395503141</v>
      </c>
      <c r="AC165">
        <v>5004.7999999999993</v>
      </c>
      <c r="AD165">
        <v>3143.8999999999996</v>
      </c>
      <c r="AE165" t="s">
        <v>139</v>
      </c>
      <c r="AO165">
        <v>1349.1</v>
      </c>
      <c r="AP165">
        <v>1828.5</v>
      </c>
      <c r="AQ165" s="31">
        <f t="shared" si="52"/>
        <v>4368</v>
      </c>
      <c r="AR165" s="31">
        <f t="shared" si="53"/>
        <v>-2409.3999999999996</v>
      </c>
      <c r="AV165" s="31">
        <f>AU166-AT166</f>
        <v>28263.400000000009</v>
      </c>
      <c r="AX165" s="88">
        <v>2468.9</v>
      </c>
      <c r="AY165" s="31">
        <v>3737.4</v>
      </c>
    </row>
    <row r="166" spans="1:51" ht="21" thickBot="1" x14ac:dyDescent="0.3">
      <c r="A166" s="38" t="s">
        <v>139</v>
      </c>
      <c r="B166" s="46">
        <v>7026</v>
      </c>
      <c r="C166" s="80">
        <v>2468.9</v>
      </c>
      <c r="D166" s="100">
        <f>2243.1-315.5</f>
        <v>1927.6</v>
      </c>
      <c r="E166" s="101">
        <f t="shared" si="46"/>
        <v>-541.30000000000018</v>
      </c>
      <c r="F166" s="101">
        <f t="shared" si="47"/>
        <v>78.075256186965845</v>
      </c>
      <c r="G166" s="92">
        <f>3737.4+2468.9</f>
        <v>6206.3</v>
      </c>
      <c r="H166" s="100">
        <f>1150.6+2112.3+100+1927.6</f>
        <v>5290.5</v>
      </c>
      <c r="I166" s="52">
        <f t="shared" si="48"/>
        <v>-915.80000000000018</v>
      </c>
      <c r="J166" s="53">
        <f t="shared" si="49"/>
        <v>85.244026231410018</v>
      </c>
      <c r="K166" s="57"/>
      <c r="L166" s="62"/>
      <c r="M166" s="62"/>
      <c r="N166" s="62"/>
      <c r="O166" s="57"/>
      <c r="P166" s="57"/>
      <c r="Q166" s="57"/>
      <c r="Y166">
        <v>1514.4</v>
      </c>
      <c r="Z166" s="31">
        <v>1629.4999999999995</v>
      </c>
      <c r="AA166" s="63">
        <f t="shared" si="50"/>
        <v>3143.8999999999996</v>
      </c>
      <c r="AB166" s="63">
        <f t="shared" si="51"/>
        <v>8675.2000000000007</v>
      </c>
      <c r="AC166">
        <v>3143.9</v>
      </c>
      <c r="AO166">
        <v>1268.5</v>
      </c>
      <c r="AP166">
        <v>1150.5999999999999</v>
      </c>
      <c r="AQ166" s="31">
        <f t="shared" si="52"/>
        <v>3078.2</v>
      </c>
      <c r="AR166" s="31">
        <f t="shared" si="53"/>
        <v>-2212.3000000000002</v>
      </c>
      <c r="AT166" s="83">
        <f>AT167+AT168+AT169+AT170+AT171+AT172</f>
        <v>20725.199999999997</v>
      </c>
      <c r="AU166" s="83">
        <f>AU167+AU168+AU169+AU170+AU171+AU172</f>
        <v>48988.600000000006</v>
      </c>
      <c r="AV166" s="83">
        <f>AV167+AV168+AV169+AV170+AV171+AV172</f>
        <v>28263.4</v>
      </c>
      <c r="AW166" s="83">
        <f>AW167+AW168+AW169+AW170+AW171+AW172</f>
        <v>76182.3</v>
      </c>
      <c r="AX166" s="83">
        <f>AX167+AX168+AX169+AX170+AX171+AX172</f>
        <v>27193.700000000004</v>
      </c>
    </row>
    <row r="167" spans="1:51" ht="33.75" thickBot="1" x14ac:dyDescent="0.3">
      <c r="A167" s="35" t="s">
        <v>142</v>
      </c>
      <c r="B167" s="46">
        <v>7030</v>
      </c>
      <c r="C167" s="80">
        <f t="shared" ref="C167:D173" si="54">C160/C153/3*1000</f>
        <v>23767.36004164975</v>
      </c>
      <c r="D167" s="52">
        <f>D160/D153/3*1000</f>
        <v>19834.938001458788</v>
      </c>
      <c r="E167" s="102">
        <f t="shared" si="46"/>
        <v>-3932.4220401909624</v>
      </c>
      <c r="F167" s="102">
        <f t="shared" si="47"/>
        <v>83.454527413647057</v>
      </c>
      <c r="G167" s="92">
        <f>G160/G153/6*1000</f>
        <v>31010.580680796862</v>
      </c>
      <c r="H167" s="53">
        <f>H160/H153/6*1000</f>
        <v>27783.479212253835</v>
      </c>
      <c r="I167" s="52">
        <f t="shared" si="48"/>
        <v>-3227.1014685430273</v>
      </c>
      <c r="J167" s="53">
        <f t="shared" si="49"/>
        <v>89.59354711296524</v>
      </c>
      <c r="K167" s="57"/>
      <c r="L167" s="57"/>
      <c r="M167" s="61"/>
      <c r="N167" s="62"/>
      <c r="O167" s="57"/>
      <c r="P167" s="57"/>
      <c r="Q167" s="57"/>
      <c r="AO167" t="s">
        <v>164</v>
      </c>
      <c r="AQ167" t="s">
        <v>165</v>
      </c>
      <c r="AR167" t="s">
        <v>166</v>
      </c>
      <c r="AS167" t="s">
        <v>166</v>
      </c>
      <c r="AT167">
        <v>6271.7</v>
      </c>
      <c r="AU167">
        <v>14138.9</v>
      </c>
      <c r="AV167">
        <f>AU167-AT167</f>
        <v>7867.2</v>
      </c>
      <c r="AW167">
        <v>22231.3</v>
      </c>
      <c r="AX167">
        <f>AW167-AU167</f>
        <v>8092.4</v>
      </c>
    </row>
    <row r="168" spans="1:51" ht="21" thickBot="1" x14ac:dyDescent="0.3">
      <c r="A168" s="38" t="s">
        <v>134</v>
      </c>
      <c r="B168" s="46">
        <v>7031</v>
      </c>
      <c r="C168" s="86">
        <f t="shared" ref="C168" si="55">C161/C154/3*1000</f>
        <v>93333.333333333328</v>
      </c>
      <c r="D168" s="86">
        <f t="shared" si="54"/>
        <v>35000</v>
      </c>
      <c r="E168" s="86">
        <f t="shared" si="46"/>
        <v>-58333.333333333328</v>
      </c>
      <c r="F168" s="86">
        <f t="shared" si="47"/>
        <v>37.5</v>
      </c>
      <c r="G168" s="92">
        <f>G161/G154/6*1000</f>
        <v>113750</v>
      </c>
      <c r="H168" s="93">
        <f>H161/H154/6*1000</f>
        <v>52883.333333333336</v>
      </c>
      <c r="I168" s="52">
        <f t="shared" si="48"/>
        <v>-60866.666666666664</v>
      </c>
      <c r="J168" s="53">
        <f t="shared" si="49"/>
        <v>46.490842490842496</v>
      </c>
      <c r="AO168" t="s">
        <v>137</v>
      </c>
      <c r="AQ168" t="s">
        <v>167</v>
      </c>
      <c r="AR168" t="s">
        <v>166</v>
      </c>
      <c r="AS168" t="s">
        <v>166</v>
      </c>
      <c r="AT168">
        <v>9100.2999999999993</v>
      </c>
      <c r="AU168">
        <v>21919</v>
      </c>
      <c r="AV168">
        <f t="shared" ref="AV168:AV171" si="56">AU168-AT168</f>
        <v>12818.7</v>
      </c>
      <c r="AW168">
        <v>33926.800000000003</v>
      </c>
      <c r="AX168">
        <f t="shared" ref="AX168:AX171" si="57">AW168-AU168</f>
        <v>12007.800000000003</v>
      </c>
    </row>
    <row r="169" spans="1:51" ht="21" thickBot="1" x14ac:dyDescent="0.3">
      <c r="A169" s="38" t="s">
        <v>135</v>
      </c>
      <c r="B169" s="46">
        <v>7032</v>
      </c>
      <c r="C169" s="86">
        <f t="shared" ref="C169" si="58">C162/C155/3*1000</f>
        <v>31538.456527290804</v>
      </c>
      <c r="D169" s="86">
        <f t="shared" si="54"/>
        <v>26726.843657817109</v>
      </c>
      <c r="E169" s="86">
        <f t="shared" si="46"/>
        <v>-4811.6128694736944</v>
      </c>
      <c r="F169" s="86">
        <f t="shared" si="47"/>
        <v>84.743664087333769</v>
      </c>
      <c r="G169" s="92">
        <f>G162/G155/6*1000</f>
        <v>41079.166666666664</v>
      </c>
      <c r="H169" s="93">
        <f t="shared" ref="H169:H173" si="59">H162/H155/6*1000</f>
        <v>36835.545722713869</v>
      </c>
      <c r="I169" s="52">
        <f t="shared" si="48"/>
        <v>-4243.6209439527956</v>
      </c>
      <c r="J169" s="53">
        <f t="shared" si="49"/>
        <v>89.669651825249304</v>
      </c>
      <c r="AO169" t="s">
        <v>138</v>
      </c>
      <c r="AQ169" t="s">
        <v>168</v>
      </c>
      <c r="AR169" t="s">
        <v>166</v>
      </c>
      <c r="AS169" t="s">
        <v>166</v>
      </c>
      <c r="AT169">
        <v>1828.5</v>
      </c>
      <c r="AU169">
        <v>4387.8999999999996</v>
      </c>
      <c r="AV169">
        <f t="shared" si="56"/>
        <v>2559.3999999999996</v>
      </c>
      <c r="AW169">
        <v>6927.4</v>
      </c>
      <c r="AX169">
        <f t="shared" si="57"/>
        <v>2539.5</v>
      </c>
    </row>
    <row r="170" spans="1:51" ht="21" thickBot="1" x14ac:dyDescent="0.3">
      <c r="A170" s="38" t="s">
        <v>136</v>
      </c>
      <c r="B170" s="46">
        <v>7033</v>
      </c>
      <c r="C170" s="86">
        <f t="shared" ref="C170" si="60">C163/C156/3*1000</f>
        <v>32311.111111111109</v>
      </c>
      <c r="D170" s="86">
        <f t="shared" si="54"/>
        <v>21575.000000000004</v>
      </c>
      <c r="E170" s="89">
        <f t="shared" si="46"/>
        <v>-10736.111111111106</v>
      </c>
      <c r="F170" s="86">
        <f t="shared" si="47"/>
        <v>66.772696011004143</v>
      </c>
      <c r="G170" s="92">
        <f>G163/G156/6*1000</f>
        <v>44843.973741890615</v>
      </c>
      <c r="H170" s="93">
        <f t="shared" si="59"/>
        <v>33998.611111111109</v>
      </c>
      <c r="I170" s="52">
        <f t="shared" si="48"/>
        <v>-10845.362630779506</v>
      </c>
      <c r="J170" s="53">
        <f t="shared" si="49"/>
        <v>75.815339886687156</v>
      </c>
      <c r="AO170" t="s">
        <v>141</v>
      </c>
      <c r="AQ170" t="s">
        <v>169</v>
      </c>
      <c r="AR170" t="s">
        <v>166</v>
      </c>
      <c r="AS170" t="s">
        <v>166</v>
      </c>
      <c r="AT170">
        <v>2374.1</v>
      </c>
      <c r="AU170">
        <v>5279.9</v>
      </c>
      <c r="AV170">
        <f t="shared" si="56"/>
        <v>2905.7999999999997</v>
      </c>
      <c r="AW170">
        <v>7590.8</v>
      </c>
      <c r="AX170">
        <f t="shared" si="57"/>
        <v>2310.9000000000005</v>
      </c>
    </row>
    <row r="171" spans="1:51" ht="21" thickBot="1" x14ac:dyDescent="0.3">
      <c r="A171" s="38" t="s">
        <v>137</v>
      </c>
      <c r="B171" s="46">
        <v>7034</v>
      </c>
      <c r="C171" s="86">
        <f t="shared" ref="C171" si="61">C164/C157/3*1000</f>
        <v>22753.819450593364</v>
      </c>
      <c r="D171" s="86">
        <f t="shared" si="54"/>
        <v>19717.241379310344</v>
      </c>
      <c r="E171" s="86">
        <f t="shared" si="46"/>
        <v>-3036.5780712830201</v>
      </c>
      <c r="F171" s="86">
        <f t="shared" si="47"/>
        <v>86.65464460647361</v>
      </c>
      <c r="G171" s="92">
        <f>G164/G157/6*1000</f>
        <v>30123.19724328594</v>
      </c>
      <c r="H171" s="93">
        <f t="shared" si="59"/>
        <v>27854.515599343187</v>
      </c>
      <c r="I171" s="52">
        <f t="shared" si="48"/>
        <v>-2268.681643942753</v>
      </c>
      <c r="J171" s="53">
        <f t="shared" si="49"/>
        <v>92.468655881312827</v>
      </c>
      <c r="AO171" t="s">
        <v>139</v>
      </c>
      <c r="AQ171" t="s">
        <v>170</v>
      </c>
      <c r="AR171" t="s">
        <v>166</v>
      </c>
      <c r="AS171" t="s">
        <v>166</v>
      </c>
      <c r="AT171">
        <v>1150.5999999999999</v>
      </c>
      <c r="AU171">
        <v>3262.9</v>
      </c>
      <c r="AV171">
        <f t="shared" si="56"/>
        <v>2112.3000000000002</v>
      </c>
      <c r="AW171">
        <v>5506</v>
      </c>
      <c r="AX171">
        <f t="shared" si="57"/>
        <v>2243.1</v>
      </c>
    </row>
    <row r="172" spans="1:51" ht="21" thickBot="1" x14ac:dyDescent="0.3">
      <c r="A172" s="38" t="s">
        <v>138</v>
      </c>
      <c r="B172" s="46">
        <v>7035</v>
      </c>
      <c r="C172" s="86">
        <f t="shared" ref="C172:C173" si="62">C165/C158/3*1000</f>
        <v>15654.027669246872</v>
      </c>
      <c r="D172" s="86">
        <f t="shared" si="54"/>
        <v>13653.225806451614</v>
      </c>
      <c r="E172" s="86">
        <f t="shared" si="46"/>
        <v>-2000.8018627952588</v>
      </c>
      <c r="F172" s="86">
        <f t="shared" si="47"/>
        <v>87.218612966131801</v>
      </c>
      <c r="G172" s="92">
        <f>G165/G158/6*1000</f>
        <v>18752.564102564105</v>
      </c>
      <c r="H172" s="93">
        <f t="shared" si="59"/>
        <v>18218.817204301075</v>
      </c>
      <c r="I172" s="52">
        <f t="shared" si="48"/>
        <v>-533.74689826303074</v>
      </c>
      <c r="J172" s="53">
        <f t="shared" si="49"/>
        <v>97.153739108189214</v>
      </c>
      <c r="AO172" t="s">
        <v>171</v>
      </c>
      <c r="AQ172" s="91">
        <f>276.2-8.2</f>
        <v>268</v>
      </c>
      <c r="AY172">
        <f>38+35.13+42.51</f>
        <v>115.63999999999999</v>
      </c>
    </row>
    <row r="173" spans="1:51" ht="21" thickBot="1" x14ac:dyDescent="0.3">
      <c r="A173" s="38" t="s">
        <v>139</v>
      </c>
      <c r="B173" s="46">
        <v>7036</v>
      </c>
      <c r="C173" s="86">
        <f t="shared" si="62"/>
        <v>15240.123456790125</v>
      </c>
      <c r="D173" s="86">
        <f t="shared" si="54"/>
        <v>11898.765432098764</v>
      </c>
      <c r="E173" s="86">
        <f t="shared" si="46"/>
        <v>-3341.3580246913607</v>
      </c>
      <c r="F173" s="86">
        <f t="shared" si="47"/>
        <v>78.075256186965831</v>
      </c>
      <c r="G173" s="92">
        <f t="shared" ref="G173" si="63">G166/G159/6*1000</f>
        <v>19155.246913580246</v>
      </c>
      <c r="H173" s="93">
        <f t="shared" si="59"/>
        <v>16328.703703703706</v>
      </c>
      <c r="I173" s="52">
        <f t="shared" si="48"/>
        <v>-2826.5432098765395</v>
      </c>
      <c r="J173" s="53">
        <f t="shared" si="49"/>
        <v>85.244026231410047</v>
      </c>
      <c r="AQ173">
        <f>408.9-41.4-0</f>
        <v>367.5</v>
      </c>
    </row>
    <row r="174" spans="1:51" ht="17.25" hidden="1" thickBot="1" x14ac:dyDescent="0.3">
      <c r="A174" s="35" t="s">
        <v>143</v>
      </c>
      <c r="B174" s="46">
        <v>7040</v>
      </c>
      <c r="C174" s="68"/>
      <c r="D174" s="68"/>
      <c r="E174" s="68"/>
      <c r="F174" s="68"/>
      <c r="G174" s="69"/>
      <c r="H174" s="69"/>
      <c r="I174" s="68"/>
      <c r="J174" s="68"/>
      <c r="AQ174">
        <f>250.1-8.2</f>
        <v>241.9</v>
      </c>
    </row>
    <row r="175" spans="1:51" ht="17.25" hidden="1" thickBot="1" x14ac:dyDescent="0.3">
      <c r="A175" s="38" t="s">
        <v>134</v>
      </c>
      <c r="B175" s="46">
        <v>7041</v>
      </c>
      <c r="C175" s="68"/>
      <c r="D175" s="68"/>
      <c r="E175" s="68"/>
      <c r="F175" s="68"/>
      <c r="G175" s="68"/>
      <c r="H175" s="68"/>
      <c r="I175" s="68"/>
      <c r="J175" s="68"/>
      <c r="AQ175" s="91">
        <f>SUM(AQ172:AQ174)</f>
        <v>877.4</v>
      </c>
      <c r="AR175" s="91">
        <f>SUM(AR172:AR174)</f>
        <v>0</v>
      </c>
    </row>
    <row r="176" spans="1:51" ht="17.25" hidden="1" thickBot="1" x14ac:dyDescent="0.3">
      <c r="A176" s="38" t="s">
        <v>135</v>
      </c>
      <c r="B176" s="46">
        <v>7042</v>
      </c>
      <c r="C176" s="68"/>
      <c r="D176" s="68"/>
      <c r="E176" s="68"/>
      <c r="F176" s="68"/>
      <c r="G176" s="68"/>
      <c r="H176" s="68"/>
      <c r="I176" s="68"/>
      <c r="J176" s="68"/>
      <c r="AR176">
        <f>1140.81-30.7</f>
        <v>1110.1099999999999</v>
      </c>
      <c r="AS176" s="91">
        <f>1113.117-30.80476-9.31505</f>
        <v>1072.99719</v>
      </c>
      <c r="AT176">
        <f>1607.7673-35.73633-18.62121</f>
        <v>1553.40976</v>
      </c>
    </row>
    <row r="177" spans="1:10" ht="17.25" hidden="1" thickBot="1" x14ac:dyDescent="0.3">
      <c r="A177" s="38" t="s">
        <v>136</v>
      </c>
      <c r="B177" s="46">
        <v>7043</v>
      </c>
      <c r="C177" s="68"/>
      <c r="D177" s="68"/>
      <c r="E177" s="68"/>
      <c r="F177" s="68"/>
      <c r="G177" s="68"/>
      <c r="H177" s="68"/>
      <c r="I177" s="68"/>
      <c r="J177" s="68"/>
    </row>
    <row r="178" spans="1:10" ht="17.25" hidden="1" thickBot="1" x14ac:dyDescent="0.3">
      <c r="A178" s="38" t="s">
        <v>137</v>
      </c>
      <c r="B178" s="46">
        <v>7044</v>
      </c>
      <c r="C178" s="68"/>
      <c r="D178" s="68"/>
      <c r="E178" s="68"/>
      <c r="F178" s="68"/>
      <c r="G178" s="68"/>
      <c r="H178" s="68"/>
      <c r="I178" s="68"/>
      <c r="J178" s="68"/>
    </row>
    <row r="179" spans="1:10" ht="17.25" hidden="1" thickBot="1" x14ac:dyDescent="0.3">
      <c r="A179" s="38" t="s">
        <v>138</v>
      </c>
      <c r="B179" s="46">
        <v>7045</v>
      </c>
      <c r="C179" s="68"/>
      <c r="D179" s="68"/>
      <c r="E179" s="68"/>
      <c r="F179" s="68"/>
      <c r="G179" s="68"/>
      <c r="H179" s="68"/>
      <c r="I179" s="68"/>
      <c r="J179" s="68"/>
    </row>
    <row r="180" spans="1:10" ht="17.25" hidden="1" thickBot="1" x14ac:dyDescent="0.3">
      <c r="A180" s="38" t="s">
        <v>139</v>
      </c>
      <c r="B180" s="46">
        <v>7046</v>
      </c>
      <c r="C180" s="68"/>
      <c r="D180" s="68"/>
      <c r="E180" s="68"/>
      <c r="F180" s="68"/>
      <c r="G180" s="68"/>
      <c r="H180" s="68"/>
      <c r="I180" s="68"/>
      <c r="J180" s="68"/>
    </row>
    <row r="181" spans="1:10" ht="15.75" hidden="1" x14ac:dyDescent="0.25">
      <c r="A181" s="70"/>
    </row>
    <row r="182" spans="1:10" ht="18.75" hidden="1" x14ac:dyDescent="0.3">
      <c r="A182" s="70" t="s">
        <v>144</v>
      </c>
      <c r="B182" s="71" t="s">
        <v>145</v>
      </c>
      <c r="D182" s="72" t="s">
        <v>146</v>
      </c>
      <c r="E182" s="72" t="s">
        <v>147</v>
      </c>
      <c r="F182" s="73"/>
    </row>
    <row r="183" spans="1:10" hidden="1" x14ac:dyDescent="0.25">
      <c r="A183" s="74" t="s">
        <v>148</v>
      </c>
      <c r="B183" s="75" t="s">
        <v>149</v>
      </c>
      <c r="D183" t="s">
        <v>150</v>
      </c>
    </row>
    <row r="184" spans="1:10" hidden="1" x14ac:dyDescent="0.25">
      <c r="A184" s="74"/>
    </row>
    <row r="185" spans="1:10" ht="16.5" hidden="1" x14ac:dyDescent="0.25">
      <c r="A185" s="76" t="s">
        <v>151</v>
      </c>
    </row>
    <row r="186" spans="1:10" ht="18.75" hidden="1" x14ac:dyDescent="0.3">
      <c r="A186" s="76"/>
      <c r="B186" s="76"/>
      <c r="D186" s="77"/>
      <c r="E186" s="77"/>
      <c r="F186" s="77"/>
    </row>
    <row r="187" spans="1:10" hidden="1" x14ac:dyDescent="0.25"/>
    <row r="188" spans="1:10" hidden="1" x14ac:dyDescent="0.25"/>
    <row r="191" spans="1:10" ht="9" customHeight="1" x14ac:dyDescent="0.25"/>
    <row r="192" spans="1:10" ht="18.75" x14ac:dyDescent="0.3">
      <c r="A192" s="70" t="s">
        <v>144</v>
      </c>
      <c r="B192" s="71" t="s">
        <v>145</v>
      </c>
      <c r="D192" s="72" t="s">
        <v>146</v>
      </c>
      <c r="E192" s="72" t="s">
        <v>147</v>
      </c>
      <c r="F192" s="73"/>
    </row>
    <row r="193" spans="1:4" x14ac:dyDescent="0.25">
      <c r="A193" s="74" t="s">
        <v>148</v>
      </c>
      <c r="B193" s="75" t="s">
        <v>149</v>
      </c>
      <c r="D193" t="s">
        <v>150</v>
      </c>
    </row>
  </sheetData>
  <mergeCells count="42">
    <mergeCell ref="C148:F148"/>
    <mergeCell ref="G148:J148"/>
    <mergeCell ref="A152:B152"/>
    <mergeCell ref="A104:J104"/>
    <mergeCell ref="A109:J109"/>
    <mergeCell ref="C113:F113"/>
    <mergeCell ref="G113:J113"/>
    <mergeCell ref="A136:J136"/>
    <mergeCell ref="A141:J141"/>
    <mergeCell ref="C88:F88"/>
    <mergeCell ref="G88:J88"/>
    <mergeCell ref="A29:J29"/>
    <mergeCell ref="A30:J30"/>
    <mergeCell ref="C31:D31"/>
    <mergeCell ref="C33:F33"/>
    <mergeCell ref="G33:J33"/>
    <mergeCell ref="C34:F34"/>
    <mergeCell ref="G34:J34"/>
    <mergeCell ref="A38:J38"/>
    <mergeCell ref="A39:J39"/>
    <mergeCell ref="C45:F45"/>
    <mergeCell ref="G45:J45"/>
    <mergeCell ref="A60:J60"/>
    <mergeCell ref="B26:I26"/>
    <mergeCell ref="J26:K26"/>
    <mergeCell ref="B16:I16"/>
    <mergeCell ref="B17:I17"/>
    <mergeCell ref="B18:I18"/>
    <mergeCell ref="B19:I19"/>
    <mergeCell ref="B20:I20"/>
    <mergeCell ref="B21:I21"/>
    <mergeCell ref="J21:K22"/>
    <mergeCell ref="B22:I22"/>
    <mergeCell ref="B24:I24"/>
    <mergeCell ref="B25:I25"/>
    <mergeCell ref="J25:K25"/>
    <mergeCell ref="B15:I15"/>
    <mergeCell ref="I3:J3"/>
    <mergeCell ref="I5:K5"/>
    <mergeCell ref="J11:K11"/>
    <mergeCell ref="A14:I14"/>
    <mergeCell ref="J14:K14"/>
  </mergeCells>
  <pageMargins left="0.51181102362204722" right="0.31496062992125984" top="0.35433070866141736" bottom="0.15748031496062992" header="0.31496062992125984" footer="0.31496062992125984"/>
  <pageSetup paperSize="9" scale="55" orientation="landscape" r:id="rId1"/>
  <rowBreaks count="4" manualBreakCount="4">
    <brk id="43" max="16383" man="1"/>
    <brk id="86" max="16383" man="1"/>
    <brk id="111" max="16383" man="1"/>
    <brk id="146" max="16383" man="1"/>
  </rowBreaks>
  <colBreaks count="1" manualBreakCount="1">
    <brk id="10" max="1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НАСК "Оранта"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2024-11-08T12:04:23Z</cp:lastPrinted>
  <dcterms:created xsi:type="dcterms:W3CDTF">2022-12-11T13:18:26Z</dcterms:created>
  <dcterms:modified xsi:type="dcterms:W3CDTF">2024-12-13T12:31:08Z</dcterms:modified>
</cp:coreProperties>
</file>